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3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yoshida\Documents\_Today__\_AyLIB\_SRIMfit-AyLIB\170405-SRIMfit_v3.00\example\dbg用\"/>
    </mc:Choice>
  </mc:AlternateContent>
  <bookViews>
    <workbookView xWindow="-15" yWindow="2085" windowWidth="19530" windowHeight="8490" tabRatio="842" activeTab="3"/>
  </bookViews>
  <sheets>
    <sheet name="VerLog" sheetId="179" r:id="rId1"/>
    <sheet name="dbg02" sheetId="195" r:id="rId2"/>
    <sheet name="dbg10" sheetId="177" r:id="rId3"/>
    <sheet name="dbg11" sheetId="198" r:id="rId4"/>
    <sheet name="dbg12" sheetId="196" r:id="rId5"/>
    <sheet name="dbg13" sheetId="185" r:id="rId6"/>
    <sheet name="dbg21" sheetId="197" r:id="rId7"/>
    <sheet name="dbg22" sheetId="200" r:id="rId8"/>
    <sheet name="dbg23" sheetId="184" r:id="rId9"/>
    <sheet name="dbg24" sheetId="188" r:id="rId10"/>
    <sheet name="dbg25" sheetId="190" r:id="rId11"/>
    <sheet name="dbg30" sheetId="191" r:id="rId12"/>
    <sheet name="dbg31" sheetId="193" r:id="rId13"/>
    <sheet name="dbg32" sheetId="202" r:id="rId14"/>
    <sheet name="dbg33" sheetId="203" r:id="rId15"/>
  </sheets>
  <externalReferences>
    <externalReference r:id="rId16"/>
  </externalReferences>
  <definedNames>
    <definedName name="BkTitle1">VerLog!$B$2</definedName>
    <definedName name="BkTitle2">VerLog!$F$2</definedName>
    <definedName name="Z_3AC4C5A4_CC01_4AA2_8975_95BDDCF33CBA_.wvu.Cols" localSheetId="4" hidden="1">'dbg12'!#REF!,'dbg12'!#REF!,'dbg12'!#REF!,'dbg12'!#REF!</definedName>
    <definedName name="Z_3AC4C5A4_CC01_4AA2_8975_95BDDCF33CBA_.wvu.Cols" localSheetId="5" hidden="1">'dbg13'!#REF!,'dbg13'!#REF!,'dbg13'!#REF!,'dbg13'!#REF!</definedName>
    <definedName name="Z_3AC4C5A4_CC01_4AA2_8975_95BDDCF33CBA_.wvu.Cols" localSheetId="8" hidden="1">'dbg23'!#REF!,'dbg23'!#REF!,'dbg23'!#REF!,'dbg23'!#REF!</definedName>
    <definedName name="Z_3AC4C5A4_CC01_4AA2_8975_95BDDCF33CBA_.wvu.Cols" localSheetId="9" hidden="1">'dbg24'!#REF!,'dbg24'!#REF!,'dbg24'!#REF!,'dbg24'!#REF!</definedName>
    <definedName name="Z_3AC4C5A4_CC01_4AA2_8975_95BDDCF33CBA_.wvu.Cols" localSheetId="10" hidden="1">'dbg25'!#REF!,'dbg25'!#REF!,'dbg25'!#REF!,'dbg25'!#REF!</definedName>
    <definedName name="Z_3AC4C5A4_CC01_4AA2_8975_95BDDCF33CBA_.wvu.Cols" localSheetId="11" hidden="1">'dbg30'!#REF!,'dbg30'!#REF!,'dbg30'!#REF!,'dbg30'!#REF!</definedName>
    <definedName name="Z_3AC4C5A4_CC01_4AA2_8975_95BDDCF33CBA_.wvu.Cols" localSheetId="12" hidden="1">'dbg31'!#REF!,'dbg31'!#REF!,'dbg31'!#REF!,'dbg31'!#REF!</definedName>
    <definedName name="Z_3AC4C5A4_CC01_4AA2_8975_95BDDCF33CBA_.wvu.Cols" localSheetId="13" hidden="1">'dbg32'!#REF!,'dbg32'!#REF!,'dbg32'!#REF!,'dbg32'!#REF!</definedName>
    <definedName name="Z_3AC4C5A4_CC01_4AA2_8975_95BDDCF33CBA_.wvu.Cols" localSheetId="14" hidden="1">'dbg33'!#REF!,'dbg33'!#REF!,'dbg33'!#REF!,'dbg33'!#REF!</definedName>
    <definedName name="Z_8A5D6D5C_C043_4E6B_AB9F_8AB531120421_.wvu.Cols" localSheetId="4" hidden="1">'dbg12'!#REF!,'dbg12'!#REF!,'dbg12'!#REF!,'dbg12'!#REF!</definedName>
    <definedName name="Z_8A5D6D5C_C043_4E6B_AB9F_8AB531120421_.wvu.Cols" localSheetId="5" hidden="1">'dbg13'!#REF!,'dbg13'!#REF!,'dbg13'!#REF!,'dbg13'!#REF!</definedName>
    <definedName name="Z_8A5D6D5C_C043_4E6B_AB9F_8AB531120421_.wvu.Cols" localSheetId="8" hidden="1">'dbg23'!#REF!,'dbg23'!#REF!,'dbg23'!#REF!,'dbg23'!#REF!</definedName>
    <definedName name="Z_8A5D6D5C_C043_4E6B_AB9F_8AB531120421_.wvu.Cols" localSheetId="9" hidden="1">'dbg24'!#REF!,'dbg24'!#REF!,'dbg24'!#REF!,'dbg24'!#REF!</definedName>
    <definedName name="Z_8A5D6D5C_C043_4E6B_AB9F_8AB531120421_.wvu.Cols" localSheetId="10" hidden="1">'dbg25'!#REF!,'dbg25'!#REF!,'dbg25'!#REF!,'dbg25'!#REF!</definedName>
    <definedName name="Z_8A5D6D5C_C043_4E6B_AB9F_8AB531120421_.wvu.Cols" localSheetId="11" hidden="1">'dbg30'!#REF!,'dbg30'!#REF!,'dbg30'!#REF!,'dbg30'!#REF!</definedName>
    <definedName name="Z_8A5D6D5C_C043_4E6B_AB9F_8AB531120421_.wvu.Cols" localSheetId="12" hidden="1">'dbg31'!#REF!,'dbg31'!#REF!,'dbg31'!#REF!,'dbg31'!#REF!</definedName>
    <definedName name="Z_8A5D6D5C_C043_4E6B_AB9F_8AB531120421_.wvu.Cols" localSheetId="13" hidden="1">'dbg32'!#REF!,'dbg32'!#REF!,'dbg32'!#REF!,'dbg32'!#REF!</definedName>
    <definedName name="Z_8A5D6D5C_C043_4E6B_AB9F_8AB531120421_.wvu.Cols" localSheetId="14" hidden="1">'dbg33'!#REF!,'dbg33'!#REF!,'dbg33'!#REF!,'dbg33'!#REF!</definedName>
  </definedNames>
  <calcPr calcId="152511" iterate="1" iterateCount="1000"/>
  <customWorkbookViews>
    <customWorkbookView name="view2" guid="{3AC4C5A4-CC01-4AA2-8975-95BDDCF33CBA}" xWindow="9" yWindow="76" windowWidth="1821" windowHeight="634" activeSheetId="80"/>
    <customWorkbookView name="view1" guid="{8A5D6D5C-C043-4E6B-AB9F-8AB531120421}" xWindow="9" yWindow="76" windowWidth="1821" windowHeight="634" activeSheetId="80"/>
  </customWorkbookViews>
</workbook>
</file>

<file path=xl/calcChain.xml><?xml version="1.0" encoding="utf-8"?>
<calcChain xmlns="http://schemas.openxmlformats.org/spreadsheetml/2006/main">
  <c r="G28" i="203" l="1"/>
  <c r="G26" i="203"/>
  <c r="G24" i="203"/>
  <c r="G22" i="203"/>
  <c r="G19" i="203" s="1"/>
  <c r="G13" i="203"/>
  <c r="AC6" i="203"/>
  <c r="S6" i="203"/>
  <c r="U4" i="203"/>
  <c r="F2" i="203"/>
  <c r="B2" i="203"/>
  <c r="P26" i="202" l="1"/>
  <c r="T26" i="202" s="1"/>
  <c r="D22" i="202"/>
  <c r="G17" i="202"/>
  <c r="G13" i="202" s="1"/>
  <c r="E17" i="202"/>
  <c r="P6" i="202" s="1"/>
  <c r="D17" i="202"/>
  <c r="S6" i="202"/>
  <c r="F2" i="202"/>
  <c r="B2" i="202"/>
  <c r="P7" i="202" l="1"/>
  <c r="P16" i="202" s="1"/>
  <c r="P10" i="202"/>
  <c r="G22" i="202"/>
  <c r="G17" i="193"/>
  <c r="E17" i="193"/>
  <c r="G19" i="202" l="1"/>
  <c r="F11" i="184"/>
  <c r="K10" i="196"/>
  <c r="D69" i="195"/>
  <c r="F10" i="198"/>
  <c r="E16" i="196"/>
  <c r="G43" i="190"/>
  <c r="G50" i="190"/>
  <c r="C69" i="195"/>
  <c r="F73" i="195"/>
  <c r="C53" i="195"/>
  <c r="F29" i="185"/>
  <c r="E20" i="202"/>
  <c r="G44" i="195"/>
  <c r="G56" i="195"/>
  <c r="D24" i="188"/>
  <c r="F52" i="195"/>
  <c r="F67" i="195"/>
  <c r="E15" i="196"/>
  <c r="F80" i="190"/>
  <c r="I28" i="188"/>
  <c r="E78" i="195"/>
  <c r="E88" i="190"/>
  <c r="E10" i="177"/>
  <c r="E40" i="188"/>
  <c r="F68" i="195"/>
  <c r="AB9" i="203"/>
  <c r="K12" i="198"/>
  <c r="B88" i="195"/>
  <c r="E61" i="188"/>
  <c r="D67" i="195"/>
  <c r="B89" i="195"/>
  <c r="D19" i="185"/>
  <c r="C72" i="195"/>
  <c r="H76" i="195"/>
  <c r="E79" i="195"/>
  <c r="O29" i="184"/>
  <c r="D9" i="177"/>
  <c r="D10" i="185"/>
  <c r="D22" i="195"/>
  <c r="F61" i="188"/>
  <c r="D42" i="195"/>
  <c r="D61" i="195"/>
  <c r="G62" i="195"/>
  <c r="D12" i="197"/>
  <c r="E79" i="190"/>
  <c r="C74" i="195"/>
  <c r="I74" i="190"/>
  <c r="H10" i="177"/>
  <c r="J29" i="185"/>
  <c r="I11" i="195"/>
  <c r="H58" i="195"/>
  <c r="H66" i="195"/>
  <c r="H72" i="195"/>
  <c r="F61" i="195"/>
  <c r="F59" i="195"/>
  <c r="E24" i="191"/>
  <c r="H51" i="195"/>
  <c r="G20" i="202"/>
  <c r="G70" i="195"/>
  <c r="K31" i="185"/>
  <c r="C13" i="203"/>
  <c r="E45" i="195"/>
  <c r="E12" i="177"/>
  <c r="F76" i="188"/>
  <c r="H16" i="195"/>
  <c r="E83" i="195"/>
  <c r="K9" i="196"/>
  <c r="H54" i="195"/>
  <c r="K17" i="203"/>
  <c r="I13" i="195"/>
  <c r="G54" i="188"/>
  <c r="E11" i="188"/>
  <c r="E17" i="196"/>
  <c r="E41" i="195"/>
  <c r="E24" i="203"/>
  <c r="D11" i="197"/>
  <c r="D72" i="195"/>
  <c r="D20" i="185"/>
  <c r="E28" i="190"/>
  <c r="D10" i="197"/>
  <c r="G93" i="188"/>
  <c r="D70" i="195"/>
  <c r="D65" i="195"/>
  <c r="D13" i="190"/>
  <c r="H13" i="195"/>
  <c r="H70" i="195"/>
  <c r="E13" i="203"/>
  <c r="AC5" i="191"/>
  <c r="D31" i="185"/>
  <c r="G17" i="195"/>
  <c r="H71" i="195"/>
  <c r="C11" i="195"/>
  <c r="C67" i="195"/>
  <c r="P17" i="202"/>
  <c r="K24" i="203"/>
  <c r="K13" i="203"/>
  <c r="H11" i="200"/>
  <c r="D66" i="195"/>
  <c r="K16" i="195"/>
  <c r="K29" i="185"/>
  <c r="F57" i="195"/>
  <c r="P31" i="184"/>
  <c r="G24" i="188"/>
  <c r="I21" i="200"/>
  <c r="E70" i="188"/>
  <c r="J10" i="198"/>
  <c r="K62" i="190"/>
  <c r="E14" i="202"/>
  <c r="G70" i="188"/>
  <c r="F84" i="195"/>
  <c r="E71" i="195"/>
  <c r="G63" i="195"/>
  <c r="E20" i="185"/>
  <c r="D90" i="188"/>
  <c r="P9" i="202"/>
  <c r="F11" i="195"/>
  <c r="G75" i="195"/>
  <c r="E99" i="188"/>
  <c r="C83" i="195"/>
  <c r="G16" i="184"/>
  <c r="F13" i="195"/>
  <c r="D38" i="195"/>
  <c r="D45" i="188"/>
  <c r="C41" i="195"/>
  <c r="H75" i="195"/>
  <c r="J12" i="198"/>
  <c r="C46" i="195"/>
  <c r="H57" i="195"/>
  <c r="O37" i="202"/>
  <c r="P21" i="202" s="1"/>
  <c r="E57" i="195"/>
  <c r="C26" i="195"/>
  <c r="H68" i="195"/>
  <c r="I103" i="188"/>
  <c r="H73" i="195"/>
  <c r="D52" i="195"/>
  <c r="F70" i="188"/>
  <c r="F64" i="195"/>
  <c r="G69" i="195"/>
  <c r="G39" i="195"/>
  <c r="H61" i="195"/>
  <c r="D13" i="191"/>
  <c r="C75" i="195"/>
  <c r="F24" i="184"/>
  <c r="D62" i="195"/>
  <c r="G84" i="195"/>
  <c r="G64" i="195"/>
  <c r="F30" i="185"/>
  <c r="C27" i="195"/>
  <c r="F15" i="195"/>
  <c r="C71" i="195"/>
  <c r="D53" i="195"/>
  <c r="E44" i="190"/>
  <c r="N7" i="190"/>
  <c r="B23" i="177"/>
  <c r="E75" i="188"/>
  <c r="J31" i="185"/>
  <c r="E60" i="188"/>
  <c r="F37" i="195"/>
  <c r="E28" i="203"/>
  <c r="F20" i="203"/>
  <c r="E49" i="195"/>
  <c r="G39" i="188"/>
  <c r="I17" i="195"/>
  <c r="D10" i="177"/>
  <c r="E28" i="185"/>
  <c r="K28" i="185"/>
  <c r="E28" i="191"/>
  <c r="C56" i="195"/>
  <c r="E46" i="195"/>
  <c r="E75" i="195"/>
  <c r="F49" i="195"/>
  <c r="D16" i="185"/>
  <c r="H60" i="195"/>
  <c r="AH6" i="203"/>
  <c r="G46" i="195"/>
  <c r="F75" i="195"/>
  <c r="F55" i="195"/>
  <c r="D26" i="195"/>
  <c r="I88" i="188"/>
  <c r="G74" i="195"/>
  <c r="I31" i="185"/>
  <c r="D57" i="195"/>
  <c r="G88" i="190"/>
  <c r="D29" i="185"/>
  <c r="H85" i="195"/>
  <c r="G50" i="195"/>
  <c r="M11" i="184"/>
  <c r="G58" i="195"/>
  <c r="E68" i="195"/>
  <c r="E66" i="195"/>
  <c r="G85" i="188"/>
  <c r="E58" i="190"/>
  <c r="C40" i="195"/>
  <c r="I44" i="190"/>
  <c r="R10" i="203"/>
  <c r="Q11" i="184"/>
  <c r="M24" i="184"/>
  <c r="H38" i="195"/>
  <c r="F54" i="195"/>
  <c r="C60" i="195"/>
  <c r="E69" i="188"/>
  <c r="E19" i="203"/>
  <c r="E20" i="191"/>
  <c r="H83" i="195"/>
  <c r="E65" i="195"/>
  <c r="J10" i="177"/>
  <c r="D15" i="200"/>
  <c r="H13" i="196"/>
  <c r="C81" i="195"/>
  <c r="H46" i="195"/>
  <c r="F70" i="195"/>
  <c r="E18" i="185"/>
  <c r="D54" i="188"/>
  <c r="D79" i="190"/>
  <c r="C73" i="195"/>
  <c r="C20" i="195"/>
  <c r="D43" i="195"/>
  <c r="F106" i="188"/>
  <c r="G14" i="202"/>
  <c r="E45" i="188"/>
  <c r="E59" i="190"/>
  <c r="AE5" i="203"/>
  <c r="G33" i="188"/>
  <c r="E19" i="184"/>
  <c r="F42" i="195"/>
  <c r="K17" i="195"/>
  <c r="I28" i="185"/>
  <c r="G46" i="188"/>
  <c r="E91" i="188"/>
  <c r="H12" i="196"/>
  <c r="D19" i="191"/>
  <c r="D64" i="195"/>
  <c r="D37" i="195"/>
  <c r="C42" i="195"/>
  <c r="G76" i="195"/>
  <c r="D18" i="185"/>
  <c r="C79" i="195"/>
  <c r="D17" i="185"/>
  <c r="H81" i="195"/>
  <c r="E55" i="188"/>
  <c r="G11" i="191"/>
  <c r="G80" i="190"/>
  <c r="G48" i="195"/>
  <c r="E13" i="202"/>
  <c r="H80" i="195"/>
  <c r="G12" i="195"/>
  <c r="D19" i="195"/>
  <c r="I73" i="188"/>
  <c r="D30" i="188"/>
  <c r="D11" i="185"/>
  <c r="D13" i="203"/>
  <c r="G54" i="195"/>
  <c r="K47" i="190"/>
  <c r="D16" i="196"/>
  <c r="I58" i="188"/>
  <c r="I29" i="190"/>
  <c r="K11" i="195"/>
  <c r="G13" i="190"/>
  <c r="C19" i="202"/>
  <c r="F46" i="195"/>
  <c r="E59" i="195"/>
  <c r="G43" i="195"/>
  <c r="D17" i="196"/>
  <c r="G24" i="184"/>
  <c r="E14" i="191"/>
  <c r="H55" i="195"/>
  <c r="E73" i="190"/>
  <c r="G106" i="188"/>
  <c r="F14" i="191"/>
  <c r="H59" i="195"/>
  <c r="F16" i="195"/>
  <c r="D15" i="185"/>
  <c r="C12" i="195"/>
  <c r="H36" i="195"/>
  <c r="F72" i="195"/>
  <c r="D14" i="185"/>
  <c r="E19" i="190"/>
  <c r="G85" i="195"/>
  <c r="D80" i="195"/>
  <c r="D58" i="190"/>
  <c r="E73" i="195"/>
  <c r="G14" i="191"/>
  <c r="C36" i="195"/>
  <c r="F78" i="195"/>
  <c r="G14" i="203"/>
  <c r="H41" i="195"/>
  <c r="E24" i="184"/>
  <c r="H84" i="195"/>
  <c r="F14" i="202"/>
  <c r="D81" i="195"/>
  <c r="E70" i="195"/>
  <c r="D30" i="185"/>
  <c r="F66" i="195"/>
  <c r="H64" i="195"/>
  <c r="I80" i="190"/>
  <c r="D82" i="195"/>
  <c r="F46" i="188"/>
  <c r="C8" i="195"/>
  <c r="D47" i="195"/>
  <c r="C76" i="195"/>
  <c r="E27" i="195"/>
  <c r="G28" i="190"/>
  <c r="E62" i="195"/>
  <c r="F29" i="190"/>
  <c r="I18" i="195"/>
  <c r="E26" i="203"/>
  <c r="I89" i="190"/>
  <c r="E16" i="185"/>
  <c r="E39" i="188"/>
  <c r="E11" i="177"/>
  <c r="F12" i="197"/>
  <c r="D11" i="177"/>
  <c r="F56" i="195"/>
  <c r="C84" i="195"/>
  <c r="F85" i="188"/>
  <c r="G51" i="195"/>
  <c r="E13" i="191"/>
  <c r="K19" i="203"/>
  <c r="F63" i="195"/>
  <c r="D44" i="195"/>
  <c r="C43" i="195"/>
  <c r="I17" i="191"/>
  <c r="I13" i="202"/>
  <c r="G82" i="195"/>
  <c r="F39" i="195"/>
  <c r="G11" i="184"/>
  <c r="F44" i="190"/>
  <c r="G29" i="185"/>
  <c r="N9" i="203"/>
  <c r="C85" i="195"/>
  <c r="D19" i="203"/>
  <c r="D73" i="195"/>
  <c r="J12" i="177"/>
  <c r="O11" i="184"/>
  <c r="G20" i="203"/>
  <c r="K17" i="190"/>
  <c r="D36" i="195"/>
  <c r="P15" i="202"/>
  <c r="K10" i="198"/>
  <c r="H11" i="195"/>
  <c r="G45" i="195"/>
  <c r="G11" i="203"/>
  <c r="K14" i="195"/>
  <c r="G67" i="195"/>
  <c r="G40" i="195"/>
  <c r="H79" i="195"/>
  <c r="F11" i="188"/>
  <c r="F59" i="190"/>
  <c r="E63" i="188"/>
  <c r="D68" i="195"/>
  <c r="E15" i="185"/>
  <c r="H65" i="195"/>
  <c r="C59" i="195"/>
  <c r="K18" i="195"/>
  <c r="G82" i="190"/>
  <c r="C52" i="195"/>
  <c r="G73" i="190"/>
  <c r="D40" i="195"/>
  <c r="G81" i="195"/>
  <c r="E85" i="195"/>
  <c r="H28" i="185"/>
  <c r="G100" i="188"/>
  <c r="C47" i="195"/>
  <c r="I15" i="195"/>
  <c r="G57" i="195"/>
  <c r="G38" i="195"/>
  <c r="D84" i="195"/>
  <c r="G11" i="188"/>
  <c r="H69" i="195"/>
  <c r="P6" i="184"/>
  <c r="E22" i="191"/>
  <c r="H29" i="185"/>
  <c r="D83" i="195"/>
  <c r="F20" i="202"/>
  <c r="E63" i="195"/>
  <c r="E74" i="190"/>
  <c r="C78" i="195"/>
  <c r="H12" i="195"/>
  <c r="E15" i="188"/>
  <c r="E17" i="185"/>
  <c r="D56" i="195"/>
  <c r="F20" i="190"/>
  <c r="E89" i="190"/>
  <c r="G76" i="188"/>
  <c r="G48" i="188"/>
  <c r="C61" i="195"/>
  <c r="N7" i="203"/>
  <c r="H43" i="195"/>
  <c r="C9" i="195"/>
  <c r="K77" i="190"/>
  <c r="N24" i="184"/>
  <c r="G47" i="195"/>
  <c r="D27" i="195"/>
  <c r="E58" i="195"/>
  <c r="H44" i="195"/>
  <c r="F47" i="195"/>
  <c r="F15" i="188"/>
  <c r="D54" i="195"/>
  <c r="D21" i="195"/>
  <c r="H62" i="195"/>
  <c r="I19" i="203"/>
  <c r="H39" i="195"/>
  <c r="K11" i="198"/>
  <c r="G55" i="188"/>
  <c r="E90" i="188"/>
  <c r="G25" i="188"/>
  <c r="AC4" i="191"/>
  <c r="I16" i="195"/>
  <c r="G31" i="185"/>
  <c r="E80" i="195"/>
  <c r="O16" i="184"/>
  <c r="F41" i="195"/>
  <c r="C57" i="195"/>
  <c r="E31" i="185"/>
  <c r="F82" i="195"/>
  <c r="F18" i="195"/>
  <c r="F83" i="195"/>
  <c r="D69" i="188"/>
  <c r="F14" i="195"/>
  <c r="E12" i="197"/>
  <c r="P18" i="184"/>
  <c r="C70" i="195"/>
  <c r="D40" i="185"/>
  <c r="G40" i="185" s="1"/>
  <c r="E22" i="203"/>
  <c r="K22" i="203"/>
  <c r="C15" i="195"/>
  <c r="E10" i="198"/>
  <c r="H78" i="195"/>
  <c r="E84" i="195"/>
  <c r="D12" i="177"/>
  <c r="D41" i="195"/>
  <c r="M9" i="203"/>
  <c r="F81" i="195"/>
  <c r="I20" i="190"/>
  <c r="D21" i="185"/>
  <c r="E43" i="195"/>
  <c r="H40" i="195"/>
  <c r="C55" i="195"/>
  <c r="G15" i="195"/>
  <c r="E26" i="195"/>
  <c r="C51" i="195"/>
  <c r="K13" i="195"/>
  <c r="I14" i="195"/>
  <c r="E24" i="188"/>
  <c r="M7" i="203"/>
  <c r="M8" i="203" s="1"/>
  <c r="F12" i="195"/>
  <c r="H53" i="195"/>
  <c r="D15" i="196"/>
  <c r="H17" i="195"/>
  <c r="E20" i="190"/>
  <c r="J11" i="198"/>
  <c r="E13" i="177"/>
  <c r="F20" i="191"/>
  <c r="G13" i="195"/>
  <c r="C44" i="195"/>
  <c r="K30" i="185"/>
  <c r="E21" i="185"/>
  <c r="G28" i="185"/>
  <c r="D58" i="195"/>
  <c r="F53" i="195"/>
  <c r="E77" i="195"/>
  <c r="E48" i="195"/>
  <c r="C13" i="202"/>
  <c r="K15" i="195"/>
  <c r="E27" i="184"/>
  <c r="E32" i="184" s="1"/>
  <c r="F55" i="188"/>
  <c r="E80" i="190"/>
  <c r="F36" i="195"/>
  <c r="G30" i="185"/>
  <c r="E52" i="195"/>
  <c r="F74" i="190"/>
  <c r="D85" i="195"/>
  <c r="C45" i="195"/>
  <c r="E40" i="195"/>
  <c r="D71" i="195"/>
  <c r="E37" i="195"/>
  <c r="E25" i="188"/>
  <c r="Q24" i="184"/>
  <c r="D49" i="195"/>
  <c r="D39" i="195"/>
  <c r="H47" i="195"/>
  <c r="G36" i="195"/>
  <c r="D12" i="200"/>
  <c r="D49" i="190"/>
  <c r="D60" i="195"/>
  <c r="F48" i="195"/>
  <c r="F79" i="195"/>
  <c r="D39" i="185"/>
  <c r="G39" i="185" s="1"/>
  <c r="G44" i="190"/>
  <c r="AE4" i="203"/>
  <c r="D13" i="202"/>
  <c r="F14" i="203"/>
  <c r="H49" i="195"/>
  <c r="F11" i="197"/>
  <c r="I29" i="185"/>
  <c r="E50" i="190"/>
  <c r="G52" i="195"/>
  <c r="E26" i="191"/>
  <c r="D35" i="198"/>
  <c r="E100" i="188"/>
  <c r="D41" i="185"/>
  <c r="F91" i="188"/>
  <c r="X6" i="203"/>
  <c r="I43" i="188"/>
  <c r="G69" i="188"/>
  <c r="F45" i="195"/>
  <c r="E84" i="188"/>
  <c r="C64" i="195"/>
  <c r="I59" i="190"/>
  <c r="C19" i="195"/>
  <c r="E14" i="203"/>
  <c r="E76" i="195"/>
  <c r="D78" i="195"/>
  <c r="D99" i="188"/>
  <c r="C54" i="195"/>
  <c r="G20" i="195"/>
  <c r="K32" i="190"/>
  <c r="H67" i="195"/>
  <c r="G22" i="190"/>
  <c r="F76" i="195"/>
  <c r="F85" i="195"/>
  <c r="E49" i="190"/>
  <c r="D73" i="190"/>
  <c r="I10" i="177"/>
  <c r="G37" i="195"/>
  <c r="G59" i="195"/>
  <c r="I14" i="190"/>
  <c r="F74" i="195"/>
  <c r="G58" i="190"/>
  <c r="E30" i="185"/>
  <c r="J28" i="185"/>
  <c r="G91" i="188"/>
  <c r="G29" i="184"/>
  <c r="E17" i="188"/>
  <c r="G20" i="191"/>
  <c r="O36" i="202"/>
  <c r="E106" i="188"/>
  <c r="E42" i="195"/>
  <c r="G21" i="195"/>
  <c r="E51" i="195"/>
  <c r="E78" i="188"/>
  <c r="G75" i="188" s="1"/>
  <c r="P11" i="202"/>
  <c r="G74" i="190"/>
  <c r="F8" i="195"/>
  <c r="D59" i="195"/>
  <c r="E61" i="195"/>
  <c r="E22" i="202"/>
  <c r="M9" i="190"/>
  <c r="I50" i="190"/>
  <c r="E54" i="195"/>
  <c r="C37" i="195"/>
  <c r="F65" i="195"/>
  <c r="E105" i="188"/>
  <c r="E30" i="188"/>
  <c r="G59" i="190"/>
  <c r="H82" i="195"/>
  <c r="C66" i="195"/>
  <c r="C49" i="195"/>
  <c r="G79" i="195"/>
  <c r="F62" i="195"/>
  <c r="G68" i="195"/>
  <c r="E29" i="185"/>
  <c r="C48" i="195"/>
  <c r="G55" i="195"/>
  <c r="E9" i="177"/>
  <c r="Q6" i="184"/>
  <c r="D88" i="190"/>
  <c r="R9" i="203"/>
  <c r="H14" i="195"/>
  <c r="E53" i="195"/>
  <c r="E47" i="195"/>
  <c r="C62" i="195"/>
  <c r="I12" i="177"/>
  <c r="F31" i="188"/>
  <c r="H48" i="195"/>
  <c r="H52" i="195"/>
  <c r="D28" i="190"/>
  <c r="G66" i="195"/>
  <c r="E12" i="200"/>
  <c r="G53" i="195"/>
  <c r="F25" i="188"/>
  <c r="D75" i="188"/>
  <c r="G89" i="190"/>
  <c r="C77" i="195"/>
  <c r="G29" i="190"/>
  <c r="H30" i="185"/>
  <c r="H10" i="200"/>
  <c r="G73" i="195"/>
  <c r="E13" i="190"/>
  <c r="G61" i="195"/>
  <c r="F50" i="195"/>
  <c r="E69" i="195"/>
  <c r="H42" i="195"/>
  <c r="C16" i="195"/>
  <c r="I32" i="184"/>
  <c r="C39" i="195"/>
  <c r="I20" i="203"/>
  <c r="E39" i="195"/>
  <c r="E43" i="190"/>
  <c r="D75" i="195"/>
  <c r="D51" i="195"/>
  <c r="D39" i="188"/>
  <c r="G41" i="195"/>
  <c r="C63" i="195"/>
  <c r="K92" i="190"/>
  <c r="F60" i="195"/>
  <c r="C82" i="195"/>
  <c r="F12" i="200"/>
  <c r="E81" i="195"/>
  <c r="M7" i="190"/>
  <c r="M8" i="190" s="1"/>
  <c r="E31" i="188"/>
  <c r="D77" i="195"/>
  <c r="D79" i="195"/>
  <c r="AB10" i="203"/>
  <c r="F40" i="188"/>
  <c r="F40" i="195"/>
  <c r="C19" i="203"/>
  <c r="F31" i="185"/>
  <c r="E72" i="195"/>
  <c r="G60" i="195"/>
  <c r="E46" i="188"/>
  <c r="F100" i="188"/>
  <c r="E60" i="195"/>
  <c r="G11" i="195"/>
  <c r="J40" i="185"/>
  <c r="N11" i="184"/>
  <c r="G71" i="195"/>
  <c r="E44" i="195"/>
  <c r="F17" i="195"/>
  <c r="G80" i="195"/>
  <c r="C50" i="195"/>
  <c r="H77" i="195"/>
  <c r="C65" i="195"/>
  <c r="D19" i="202"/>
  <c r="D63" i="195"/>
  <c r="E14" i="190"/>
  <c r="E19" i="202"/>
  <c r="C21" i="195"/>
  <c r="K12" i="195"/>
  <c r="H31" i="185"/>
  <c r="E36" i="195"/>
  <c r="J8" i="177"/>
  <c r="E19" i="185"/>
  <c r="H45" i="195"/>
  <c r="I30" i="185"/>
  <c r="D28" i="185"/>
  <c r="F89" i="190"/>
  <c r="J30" i="185"/>
  <c r="K28" i="203"/>
  <c r="E29" i="190"/>
  <c r="M19" i="184"/>
  <c r="N9" i="190"/>
  <c r="M10" i="190" s="1"/>
  <c r="H15" i="195"/>
  <c r="E14" i="185"/>
  <c r="F43" i="195"/>
  <c r="D76" i="195"/>
  <c r="D46" i="195"/>
  <c r="C68" i="195"/>
  <c r="E74" i="195"/>
  <c r="G31" i="188"/>
  <c r="G42" i="195"/>
  <c r="H63" i="195"/>
  <c r="D105" i="188"/>
  <c r="D10" i="198"/>
  <c r="E82" i="195"/>
  <c r="F58" i="195"/>
  <c r="C22" i="195"/>
  <c r="C10" i="195"/>
  <c r="D10" i="195" s="1"/>
  <c r="S14" i="184"/>
  <c r="G61" i="188"/>
  <c r="F11" i="200"/>
  <c r="F28" i="185"/>
  <c r="D20" i="195"/>
  <c r="G40" i="188"/>
  <c r="G84" i="188"/>
  <c r="G108" i="188"/>
  <c r="C38" i="195"/>
  <c r="G22" i="195"/>
  <c r="E55" i="195"/>
  <c r="F13" i="198"/>
  <c r="D84" i="188"/>
  <c r="I17" i="202"/>
  <c r="E54" i="188"/>
  <c r="F38" i="195"/>
  <c r="H18" i="195"/>
  <c r="F50" i="190"/>
  <c r="E64" i="195"/>
  <c r="G14" i="195"/>
  <c r="C13" i="191"/>
  <c r="G78" i="195"/>
  <c r="H15" i="197"/>
  <c r="D50" i="195"/>
  <c r="E50" i="195"/>
  <c r="F44" i="195"/>
  <c r="G65" i="195"/>
  <c r="D55" i="195"/>
  <c r="H56" i="195"/>
  <c r="G14" i="188"/>
  <c r="E76" i="188"/>
  <c r="G15" i="188"/>
  <c r="G72" i="195"/>
  <c r="F80" i="195"/>
  <c r="F69" i="195"/>
  <c r="F51" i="195"/>
  <c r="O24" i="184"/>
  <c r="H74" i="195"/>
  <c r="E67" i="195"/>
  <c r="C19" i="191"/>
  <c r="I14" i="203"/>
  <c r="H37" i="195"/>
  <c r="H50" i="195"/>
  <c r="I14" i="184"/>
  <c r="D43" i="190"/>
  <c r="G83" i="195"/>
  <c r="G16" i="195"/>
  <c r="G18" i="195"/>
  <c r="E56" i="195"/>
  <c r="E20" i="203"/>
  <c r="G60" i="188"/>
  <c r="C58" i="195"/>
  <c r="D60" i="188"/>
  <c r="P20" i="202"/>
  <c r="J39" i="185"/>
  <c r="G77" i="195"/>
  <c r="D13" i="177"/>
  <c r="D45" i="195"/>
  <c r="E11" i="184"/>
  <c r="G99" i="188"/>
  <c r="I12" i="195"/>
  <c r="C13" i="195"/>
  <c r="D74" i="195"/>
  <c r="F14" i="190"/>
  <c r="F77" i="195"/>
  <c r="C14" i="195"/>
  <c r="E85" i="188"/>
  <c r="E38" i="195"/>
  <c r="C80" i="195"/>
  <c r="G49" i="195"/>
  <c r="D48" i="195"/>
  <c r="H12" i="177"/>
  <c r="G14" i="190"/>
  <c r="G20" i="190"/>
  <c r="D19" i="190"/>
  <c r="F71" i="195"/>
  <c r="I13" i="203"/>
  <c r="I19" i="202"/>
  <c r="K26" i="203"/>
  <c r="I22" i="202"/>
  <c r="J22" i="202" l="1"/>
  <c r="L26" i="203"/>
  <c r="T10" i="203"/>
  <c r="T20" i="202"/>
  <c r="P23" i="202"/>
  <c r="P22" i="202"/>
  <c r="P25" i="202" s="1"/>
  <c r="J17" i="202"/>
  <c r="I14" i="202"/>
  <c r="K17" i="202"/>
  <c r="L17" i="202" s="1"/>
  <c r="L28" i="203"/>
  <c r="Q11" i="203"/>
  <c r="K22" i="202"/>
  <c r="L22" i="202" s="1"/>
  <c r="M22" i="202" s="1"/>
  <c r="D21" i="202"/>
  <c r="P12" i="202"/>
  <c r="T11" i="202"/>
  <c r="D16" i="203"/>
  <c r="L22" i="203"/>
  <c r="M22" i="203"/>
  <c r="O22" i="203" s="1"/>
  <c r="D21" i="203"/>
  <c r="AD10" i="203"/>
  <c r="J13" i="202"/>
  <c r="L19" i="203"/>
  <c r="M26" i="203"/>
  <c r="N26" i="203" s="1"/>
  <c r="D16" i="202"/>
  <c r="L13" i="202"/>
  <c r="K13" i="202" s="1"/>
  <c r="N19" i="203"/>
  <c r="M19" i="203" s="1"/>
  <c r="M28" i="203"/>
  <c r="N28" i="203" s="1"/>
  <c r="L13" i="203"/>
  <c r="L24" i="203"/>
  <c r="N13" i="203"/>
  <c r="M13" i="203" s="1"/>
  <c r="M24" i="203"/>
  <c r="N24" i="203" s="1"/>
  <c r="M17" i="203"/>
  <c r="O24" i="203" s="1"/>
  <c r="K14" i="203"/>
  <c r="L17" i="203"/>
  <c r="AA11" i="203"/>
  <c r="AA12" i="203" s="1"/>
  <c r="N17" i="203"/>
  <c r="O26" i="203"/>
  <c r="Q12" i="203"/>
  <c r="J19" i="202"/>
  <c r="L19" i="202"/>
  <c r="P13" i="202"/>
  <c r="G13" i="193"/>
  <c r="D22" i="193"/>
  <c r="D17" i="193"/>
  <c r="G21" i="200"/>
  <c r="AB11" i="203"/>
  <c r="AC11" i="203"/>
  <c r="D13" i="193"/>
  <c r="O36" i="193"/>
  <c r="C13" i="193"/>
  <c r="AB12" i="203"/>
  <c r="P9" i="193"/>
  <c r="F14" i="193"/>
  <c r="E14" i="193"/>
  <c r="E20" i="193"/>
  <c r="E22" i="193"/>
  <c r="S12" i="203"/>
  <c r="E13" i="193"/>
  <c r="S19" i="184"/>
  <c r="G41" i="185"/>
  <c r="J41" i="185" s="1"/>
  <c r="I17" i="193"/>
  <c r="O37" i="193"/>
  <c r="P7" i="184"/>
  <c r="G14" i="193"/>
  <c r="G20" i="193"/>
  <c r="I19" i="184"/>
  <c r="R12" i="203"/>
  <c r="R11" i="203"/>
  <c r="S11" i="203"/>
  <c r="M10" i="203"/>
  <c r="D19" i="193"/>
  <c r="AC12" i="203"/>
  <c r="F20" i="193"/>
  <c r="P15" i="193"/>
  <c r="C19" i="193"/>
  <c r="T11" i="203" l="1"/>
  <c r="AD11" i="203"/>
  <c r="N22" i="203"/>
  <c r="AF10" i="203"/>
  <c r="V10" i="203"/>
  <c r="V4" i="203" s="1"/>
  <c r="AD12" i="203"/>
  <c r="T12" i="203"/>
  <c r="U12" i="203" s="1"/>
  <c r="AH10" i="203"/>
  <c r="X10" i="203"/>
  <c r="X4" i="203" s="1"/>
  <c r="AF4" i="203"/>
  <c r="AF5" i="203"/>
  <c r="AA13" i="203"/>
  <c r="O28" i="203"/>
  <c r="AE11" i="203"/>
  <c r="AG11" i="203" s="1"/>
  <c r="AI11" i="203" s="1"/>
  <c r="AH11" i="203"/>
  <c r="AF11" i="203"/>
  <c r="Q13" i="203"/>
  <c r="U11" i="203"/>
  <c r="W11" i="203" s="1"/>
  <c r="Y11" i="203" s="1"/>
  <c r="V11" i="203"/>
  <c r="X11" i="203" s="1"/>
  <c r="V12" i="203"/>
  <c r="X12" i="203" s="1"/>
  <c r="P29" i="202"/>
  <c r="P37" i="202"/>
  <c r="P36" i="202"/>
  <c r="K19" i="202"/>
  <c r="P18" i="202"/>
  <c r="P28" i="202"/>
  <c r="T28" i="202" s="1"/>
  <c r="P27" i="202"/>
  <c r="T27" i="202" s="1"/>
  <c r="P26" i="193"/>
  <c r="T26" i="193" s="1"/>
  <c r="R13" i="203"/>
  <c r="AC13" i="203"/>
  <c r="P30" i="202"/>
  <c r="AB13" i="203"/>
  <c r="S13" i="203"/>
  <c r="I13" i="193"/>
  <c r="W12" i="203" l="1"/>
  <c r="Y12" i="203" s="1"/>
  <c r="AD13" i="203"/>
  <c r="T13" i="203"/>
  <c r="U13" i="203" s="1"/>
  <c r="AA14" i="203"/>
  <c r="Q14" i="203"/>
  <c r="AH4" i="203"/>
  <c r="AH5" i="203"/>
  <c r="AE12" i="203"/>
  <c r="AG12" i="203" s="1"/>
  <c r="AI12" i="203" s="1"/>
  <c r="AH12" i="203"/>
  <c r="AF12" i="203"/>
  <c r="T38" i="202"/>
  <c r="W13" i="203"/>
  <c r="Y13" i="203" s="1"/>
  <c r="V13" i="203"/>
  <c r="X13" i="203" s="1"/>
  <c r="P32" i="202"/>
  <c r="O48" i="202"/>
  <c r="P6" i="193"/>
  <c r="P33" i="202"/>
  <c r="S14" i="203"/>
  <c r="P48" i="202"/>
  <c r="AC14" i="203"/>
  <c r="AB14" i="203"/>
  <c r="R14" i="203"/>
  <c r="Q48" i="202"/>
  <c r="T14" i="203" l="1"/>
  <c r="U14" i="203" s="1"/>
  <c r="AD14" i="203"/>
  <c r="Q15" i="203"/>
  <c r="AA15" i="203"/>
  <c r="AE13" i="203"/>
  <c r="AF13" i="203"/>
  <c r="AH13" i="203"/>
  <c r="AG13" i="203"/>
  <c r="AI13" i="203" s="1"/>
  <c r="O40" i="202"/>
  <c r="O43" i="202" s="1"/>
  <c r="W14" i="203"/>
  <c r="Y14" i="203" s="1"/>
  <c r="V14" i="203"/>
  <c r="X14" i="203" s="1"/>
  <c r="O47" i="202"/>
  <c r="R48" i="202"/>
  <c r="I97" i="190"/>
  <c r="H97" i="190"/>
  <c r="I92" i="190"/>
  <c r="H92" i="190"/>
  <c r="E92" i="190"/>
  <c r="AB15" i="203"/>
  <c r="Q47" i="202"/>
  <c r="P43" i="202"/>
  <c r="AC15" i="203"/>
  <c r="S48" i="202"/>
  <c r="P47" i="202"/>
  <c r="R15" i="203"/>
  <c r="S15" i="203"/>
  <c r="Q43" i="202"/>
  <c r="AD15" i="203" l="1"/>
  <c r="T15" i="203"/>
  <c r="U15" i="203" s="1"/>
  <c r="AA16" i="203"/>
  <c r="AE14" i="203"/>
  <c r="AG14" i="203"/>
  <c r="AI14" i="203" s="1"/>
  <c r="AF14" i="203"/>
  <c r="AH14" i="203"/>
  <c r="Q16" i="203"/>
  <c r="O42" i="202"/>
  <c r="O45" i="202"/>
  <c r="O41" i="202"/>
  <c r="O44" i="202"/>
  <c r="W15" i="203"/>
  <c r="Y15" i="203" s="1"/>
  <c r="V15" i="203"/>
  <c r="X15" i="203" s="1"/>
  <c r="R47" i="202"/>
  <c r="Q51" i="202"/>
  <c r="P51" i="202"/>
  <c r="R43" i="202"/>
  <c r="T48" i="202"/>
  <c r="I47" i="190"/>
  <c r="H47" i="190"/>
  <c r="G47" i="190"/>
  <c r="D97" i="190"/>
  <c r="D92" i="190"/>
  <c r="D67" i="190"/>
  <c r="D62" i="190"/>
  <c r="D37" i="190"/>
  <c r="D32" i="190"/>
  <c r="Q44" i="202"/>
  <c r="F35" i="190"/>
  <c r="Q42" i="202"/>
  <c r="G95" i="190"/>
  <c r="P42" i="202"/>
  <c r="I65" i="190"/>
  <c r="I35" i="190"/>
  <c r="Q41" i="202"/>
  <c r="P45" i="202"/>
  <c r="E95" i="190"/>
  <c r="P41" i="202"/>
  <c r="D64" i="190"/>
  <c r="P44" i="202"/>
  <c r="G35" i="190"/>
  <c r="E64" i="190"/>
  <c r="R16" i="203"/>
  <c r="E35" i="190"/>
  <c r="F95" i="190"/>
  <c r="D94" i="190"/>
  <c r="S16" i="203"/>
  <c r="D34" i="190"/>
  <c r="G97" i="190"/>
  <c r="E34" i="190"/>
  <c r="S43" i="202"/>
  <c r="E94" i="190"/>
  <c r="I95" i="190"/>
  <c r="F65" i="190"/>
  <c r="Q45" i="202"/>
  <c r="E65" i="190"/>
  <c r="AC16" i="203"/>
  <c r="AB16" i="203"/>
  <c r="G65" i="190"/>
  <c r="AD16" i="203" l="1"/>
  <c r="T16" i="203"/>
  <c r="U16" i="203" s="1"/>
  <c r="AA17" i="203"/>
  <c r="Q17" i="203"/>
  <c r="AE15" i="203"/>
  <c r="AG15" i="203"/>
  <c r="AI15" i="203" s="1"/>
  <c r="AF15" i="203"/>
  <c r="AH15" i="203"/>
  <c r="R42" i="202"/>
  <c r="R41" i="202"/>
  <c r="R45" i="202"/>
  <c r="R44" i="202"/>
  <c r="R51" i="202"/>
  <c r="R52" i="202" s="1"/>
  <c r="W16" i="203"/>
  <c r="Y16" i="203" s="1"/>
  <c r="V16" i="203"/>
  <c r="X16" i="203" s="1"/>
  <c r="Q52" i="202"/>
  <c r="T43" i="202"/>
  <c r="U43" i="202" s="1"/>
  <c r="U48" i="202"/>
  <c r="F2" i="200"/>
  <c r="B2" i="200"/>
  <c r="S17" i="203"/>
  <c r="S42" i="202"/>
  <c r="R17" i="203"/>
  <c r="S47" i="202"/>
  <c r="S45" i="202"/>
  <c r="AC17" i="203"/>
  <c r="AB17" i="203"/>
  <c r="S44" i="202"/>
  <c r="S41" i="202"/>
  <c r="T17" i="203" l="1"/>
  <c r="U17" i="203" s="1"/>
  <c r="AD17" i="203"/>
  <c r="Q18" i="203"/>
  <c r="AA18" i="203"/>
  <c r="AE16" i="203"/>
  <c r="AH16" i="203"/>
  <c r="AG16" i="203"/>
  <c r="AI16" i="203" s="1"/>
  <c r="AF16" i="203"/>
  <c r="T42" i="202"/>
  <c r="U42" i="202" s="1"/>
  <c r="T41" i="202"/>
  <c r="U41" i="202" s="1"/>
  <c r="T45" i="202"/>
  <c r="U45" i="202" s="1"/>
  <c r="S51" i="202"/>
  <c r="S52" i="202" s="1"/>
  <c r="T44" i="202"/>
  <c r="U44" i="202" s="1"/>
  <c r="T47" i="202"/>
  <c r="T50" i="202" s="1"/>
  <c r="W17" i="203"/>
  <c r="Y17" i="203" s="1"/>
  <c r="V17" i="203"/>
  <c r="X17" i="203" s="1"/>
  <c r="S6" i="193"/>
  <c r="P7" i="193"/>
  <c r="P16" i="193" s="1"/>
  <c r="R18" i="203"/>
  <c r="AB18" i="203"/>
  <c r="P17" i="193"/>
  <c r="AC18" i="203"/>
  <c r="S18" i="203"/>
  <c r="AD18" i="203" l="1"/>
  <c r="T18" i="203"/>
  <c r="U18" i="203" s="1"/>
  <c r="W18" i="203" s="1"/>
  <c r="Y18" i="203" s="1"/>
  <c r="AA19" i="203"/>
  <c r="Q19" i="203"/>
  <c r="AE17" i="203"/>
  <c r="AG17" i="203" s="1"/>
  <c r="AI17" i="203" s="1"/>
  <c r="AH17" i="203"/>
  <c r="AF17" i="203"/>
  <c r="T51" i="202"/>
  <c r="T52" i="202" s="1"/>
  <c r="T53" i="202" s="1"/>
  <c r="U47" i="202"/>
  <c r="U51" i="202" s="1"/>
  <c r="U52" i="202" s="1"/>
  <c r="V18" i="203"/>
  <c r="X18" i="203" s="1"/>
  <c r="Q53" i="202"/>
  <c r="R53" i="202"/>
  <c r="S53" i="202"/>
  <c r="I70" i="188"/>
  <c r="R19" i="203"/>
  <c r="S19" i="203"/>
  <c r="AB19" i="203"/>
  <c r="AC19" i="203"/>
  <c r="T19" i="203" l="1"/>
  <c r="U19" i="203" s="1"/>
  <c r="AD19" i="203"/>
  <c r="Q20" i="203"/>
  <c r="AA20" i="203"/>
  <c r="AE18" i="203"/>
  <c r="AH18" i="203"/>
  <c r="AG18" i="203"/>
  <c r="AI18" i="203" s="1"/>
  <c r="AF18" i="203"/>
  <c r="P54" i="202"/>
  <c r="U53" i="202"/>
  <c r="W19" i="203"/>
  <c r="Y19" i="203" s="1"/>
  <c r="V19" i="203"/>
  <c r="X19" i="203" s="1"/>
  <c r="C35" i="198"/>
  <c r="AC20" i="203"/>
  <c r="AB20" i="203"/>
  <c r="S20" i="203"/>
  <c r="R20" i="203"/>
  <c r="AD20" i="203" l="1"/>
  <c r="T20" i="203"/>
  <c r="U20" i="203" s="1"/>
  <c r="AA21" i="203"/>
  <c r="Q21" i="203"/>
  <c r="AE19" i="203"/>
  <c r="AF19" i="203"/>
  <c r="AH19" i="203"/>
  <c r="AG19" i="203"/>
  <c r="AI19" i="203" s="1"/>
  <c r="V20" i="203"/>
  <c r="X20" i="203" s="1"/>
  <c r="F39" i="198"/>
  <c r="D18" i="198"/>
  <c r="G2" i="198"/>
  <c r="B2" i="198"/>
  <c r="S21" i="203"/>
  <c r="R21" i="203"/>
  <c r="C18" i="198"/>
  <c r="AB21" i="203"/>
  <c r="AC21" i="203"/>
  <c r="C39" i="198"/>
  <c r="T21" i="203" l="1"/>
  <c r="U21" i="203" s="1"/>
  <c r="AD21" i="203"/>
  <c r="Q22" i="203"/>
  <c r="AA22" i="203"/>
  <c r="W20" i="203"/>
  <c r="Y20" i="203" s="1"/>
  <c r="AE20" i="203"/>
  <c r="AF20" i="203"/>
  <c r="AG20" i="203"/>
  <c r="AI20" i="203" s="1"/>
  <c r="AH20" i="203"/>
  <c r="W21" i="203"/>
  <c r="Y21" i="203" s="1"/>
  <c r="V21" i="203"/>
  <c r="X21" i="203" s="1"/>
  <c r="C43" i="198"/>
  <c r="C44" i="198"/>
  <c r="C40" i="198"/>
  <c r="C42" i="198"/>
  <c r="C41" i="198"/>
  <c r="C22" i="198"/>
  <c r="C23" i="198"/>
  <c r="C19" i="198"/>
  <c r="C20" i="198"/>
  <c r="C21" i="198"/>
  <c r="D21" i="197"/>
  <c r="F41" i="198"/>
  <c r="S22" i="203"/>
  <c r="D21" i="198"/>
  <c r="F21" i="198"/>
  <c r="AC22" i="203"/>
  <c r="D44" i="198"/>
  <c r="F19" i="198"/>
  <c r="D42" i="198"/>
  <c r="F44" i="198"/>
  <c r="F40" i="198"/>
  <c r="R22" i="203"/>
  <c r="D41" i="198"/>
  <c r="D19" i="198"/>
  <c r="D20" i="198"/>
  <c r="AB22" i="203"/>
  <c r="F42" i="198"/>
  <c r="D23" i="198"/>
  <c r="F23" i="198"/>
  <c r="F22" i="198"/>
  <c r="F43" i="198"/>
  <c r="F20" i="198"/>
  <c r="D22" i="198"/>
  <c r="D40" i="198"/>
  <c r="D43" i="198"/>
  <c r="C21" i="197"/>
  <c r="AD22" i="203" l="1"/>
  <c r="T22" i="203"/>
  <c r="U22" i="203" s="1"/>
  <c r="AA23" i="203"/>
  <c r="Q23" i="203"/>
  <c r="AE21" i="203"/>
  <c r="AG21" i="203" s="1"/>
  <c r="AI21" i="203" s="1"/>
  <c r="AF21" i="203"/>
  <c r="AH21" i="203"/>
  <c r="V22" i="203"/>
  <c r="X22" i="203" s="1"/>
  <c r="D48" i="198"/>
  <c r="F48" i="198"/>
  <c r="F47" i="198"/>
  <c r="F27" i="198"/>
  <c r="D27" i="198"/>
  <c r="D26" i="198"/>
  <c r="F2" i="197"/>
  <c r="B2" i="197"/>
  <c r="AC23" i="203"/>
  <c r="AB23" i="203"/>
  <c r="S23" i="203"/>
  <c r="R23" i="203"/>
  <c r="T23" i="203" l="1"/>
  <c r="U23" i="203" s="1"/>
  <c r="AD23" i="203"/>
  <c r="Q24" i="203"/>
  <c r="AA24" i="203"/>
  <c r="W22" i="203"/>
  <c r="Y22" i="203" s="1"/>
  <c r="AE22" i="203"/>
  <c r="AG22" i="203" s="1"/>
  <c r="AI22" i="203" s="1"/>
  <c r="AH22" i="203"/>
  <c r="AF22" i="203"/>
  <c r="W23" i="203"/>
  <c r="Y23" i="203" s="1"/>
  <c r="V23" i="203"/>
  <c r="X23" i="203" s="1"/>
  <c r="D49" i="198"/>
  <c r="D50" i="198" s="1"/>
  <c r="F28" i="198"/>
  <c r="F29" i="198" s="1"/>
  <c r="C23" i="197"/>
  <c r="C22" i="197"/>
  <c r="C26" i="197"/>
  <c r="C25" i="197"/>
  <c r="C24" i="197"/>
  <c r="I19" i="196"/>
  <c r="I18" i="196"/>
  <c r="I17" i="196"/>
  <c r="I16" i="196"/>
  <c r="I15" i="196"/>
  <c r="I14" i="196"/>
  <c r="I13" i="196"/>
  <c r="I12" i="196"/>
  <c r="M6" i="196"/>
  <c r="E2" i="196"/>
  <c r="B2" i="196"/>
  <c r="B2" i="195"/>
  <c r="E2" i="195"/>
  <c r="E22" i="197"/>
  <c r="E23" i="197"/>
  <c r="AC24" i="203"/>
  <c r="D24" i="197"/>
  <c r="E26" i="197"/>
  <c r="E24" i="197"/>
  <c r="D22" i="197"/>
  <c r="D25" i="197"/>
  <c r="D26" i="197"/>
  <c r="AB24" i="203"/>
  <c r="R24" i="203"/>
  <c r="E25" i="197"/>
  <c r="D23" i="197"/>
  <c r="S24" i="203"/>
  <c r="AD24" i="203" l="1"/>
  <c r="T24" i="203"/>
  <c r="U24" i="203" s="1"/>
  <c r="AA25" i="203"/>
  <c r="Q25" i="203"/>
  <c r="AE23" i="203"/>
  <c r="AG23" i="203"/>
  <c r="AI23" i="203" s="1"/>
  <c r="AH23" i="203"/>
  <c r="AF23" i="203"/>
  <c r="E30" i="197"/>
  <c r="D30" i="197"/>
  <c r="D29" i="197"/>
  <c r="H15" i="196"/>
  <c r="H14" i="196"/>
  <c r="H16" i="196"/>
  <c r="H17" i="196"/>
  <c r="H18" i="196"/>
  <c r="H19" i="196"/>
  <c r="K11" i="196"/>
  <c r="E12" i="195"/>
  <c r="M11" i="196"/>
  <c r="R25" i="203"/>
  <c r="N11" i="196"/>
  <c r="L11" i="196"/>
  <c r="O11" i="196"/>
  <c r="AB25" i="203"/>
  <c r="S25" i="203"/>
  <c r="AC25" i="203"/>
  <c r="V24" i="203" l="1"/>
  <c r="X24" i="203" s="1"/>
  <c r="T25" i="203"/>
  <c r="U25" i="203" s="1"/>
  <c r="AD25" i="203"/>
  <c r="Q26" i="203"/>
  <c r="AA26" i="203"/>
  <c r="W24" i="203"/>
  <c r="Y24" i="203" s="1"/>
  <c r="AE24" i="203"/>
  <c r="AG24" i="203"/>
  <c r="AI24" i="203" s="1"/>
  <c r="AF24" i="203"/>
  <c r="AH24" i="203"/>
  <c r="E31" i="197"/>
  <c r="E32" i="197" s="1"/>
  <c r="F34" i="197" s="1"/>
  <c r="I21" i="197" s="1"/>
  <c r="K12" i="196"/>
  <c r="E13" i="195"/>
  <c r="R26" i="203"/>
  <c r="AC26" i="203"/>
  <c r="L12" i="196"/>
  <c r="M12" i="196"/>
  <c r="N12" i="196"/>
  <c r="AB26" i="203"/>
  <c r="G21" i="197"/>
  <c r="O12" i="196"/>
  <c r="S26" i="203"/>
  <c r="AD26" i="203" l="1"/>
  <c r="T26" i="203"/>
  <c r="U26" i="203" s="1"/>
  <c r="AA27" i="203"/>
  <c r="V25" i="203"/>
  <c r="X25" i="203" s="1"/>
  <c r="Q27" i="203"/>
  <c r="W25" i="203"/>
  <c r="Y25" i="203" s="1"/>
  <c r="AE25" i="203"/>
  <c r="AG25" i="203" s="1"/>
  <c r="AI25" i="203" s="1"/>
  <c r="AF25" i="203"/>
  <c r="AH25" i="203"/>
  <c r="W26" i="203"/>
  <c r="Y26" i="203" s="1"/>
  <c r="K13" i="196"/>
  <c r="E14" i="195"/>
  <c r="AC27" i="203"/>
  <c r="R27" i="203"/>
  <c r="AB27" i="203"/>
  <c r="N13" i="196"/>
  <c r="L13" i="196"/>
  <c r="M13" i="196"/>
  <c r="S27" i="203"/>
  <c r="O13" i="196"/>
  <c r="V26" i="203" l="1"/>
  <c r="X26" i="203" s="1"/>
  <c r="AD27" i="203"/>
  <c r="T27" i="203"/>
  <c r="U27" i="203" s="1"/>
  <c r="AA28" i="203"/>
  <c r="Q28" i="203"/>
  <c r="AE26" i="203"/>
  <c r="AG26" i="203"/>
  <c r="AI26" i="203" s="1"/>
  <c r="AF26" i="203"/>
  <c r="AH26" i="203"/>
  <c r="G23" i="197"/>
  <c r="G25" i="197"/>
  <c r="G24" i="197"/>
  <c r="G26" i="197"/>
  <c r="G22" i="197"/>
  <c r="K14" i="196"/>
  <c r="E15" i="195"/>
  <c r="L14" i="196"/>
  <c r="H26" i="197"/>
  <c r="AC28" i="203"/>
  <c r="I23" i="197"/>
  <c r="S28" i="203"/>
  <c r="I25" i="197"/>
  <c r="AB28" i="203"/>
  <c r="I22" i="197"/>
  <c r="I26" i="197"/>
  <c r="R28" i="203"/>
  <c r="I24" i="197"/>
  <c r="M14" i="196"/>
  <c r="O14" i="196"/>
  <c r="H25" i="197"/>
  <c r="H22" i="197"/>
  <c r="H23" i="197"/>
  <c r="H24" i="197"/>
  <c r="N14" i="196"/>
  <c r="V27" i="203" l="1"/>
  <c r="X27" i="203" s="1"/>
  <c r="T28" i="203"/>
  <c r="U28" i="203" s="1"/>
  <c r="AD28" i="203"/>
  <c r="Q29" i="203"/>
  <c r="AA29" i="203"/>
  <c r="W27" i="203"/>
  <c r="Y27" i="203" s="1"/>
  <c r="AE27" i="203"/>
  <c r="AG27" i="203" s="1"/>
  <c r="AI27" i="203" s="1"/>
  <c r="AF27" i="203"/>
  <c r="AH27" i="203"/>
  <c r="W28" i="203"/>
  <c r="Y28" i="203" s="1"/>
  <c r="V28" i="203"/>
  <c r="X28" i="203" s="1"/>
  <c r="H30" i="197"/>
  <c r="I30" i="197"/>
  <c r="I29" i="197"/>
  <c r="K15" i="196"/>
  <c r="E16" i="195"/>
  <c r="O15" i="196"/>
  <c r="AC29" i="203"/>
  <c r="R29" i="203"/>
  <c r="N15" i="196"/>
  <c r="S29" i="203"/>
  <c r="L15" i="196"/>
  <c r="AB29" i="203"/>
  <c r="M15" i="196"/>
  <c r="AD29" i="203" l="1"/>
  <c r="T29" i="203"/>
  <c r="U29" i="203" s="1"/>
  <c r="AA30" i="203"/>
  <c r="Q30" i="203"/>
  <c r="AE28" i="203"/>
  <c r="AG28" i="203" s="1"/>
  <c r="AI28" i="203" s="1"/>
  <c r="AF28" i="203"/>
  <c r="AH28" i="203"/>
  <c r="V29" i="203"/>
  <c r="X29" i="203" s="1"/>
  <c r="H31" i="197"/>
  <c r="H32" i="197" s="1"/>
  <c r="K16" i="196"/>
  <c r="E17" i="195"/>
  <c r="S30" i="203"/>
  <c r="R30" i="203"/>
  <c r="AB30" i="203"/>
  <c r="O16" i="196"/>
  <c r="AC30" i="203"/>
  <c r="M16" i="196"/>
  <c r="N16" i="196"/>
  <c r="L16" i="196"/>
  <c r="T30" i="203" l="1"/>
  <c r="U30" i="203" s="1"/>
  <c r="AD30" i="203"/>
  <c r="Q31" i="203"/>
  <c r="AA31" i="203"/>
  <c r="W29" i="203"/>
  <c r="Y29" i="203" s="1"/>
  <c r="AE29" i="203"/>
  <c r="AG29" i="203" s="1"/>
  <c r="AI29" i="203" s="1"/>
  <c r="AF29" i="203"/>
  <c r="AH29" i="203"/>
  <c r="W30" i="203"/>
  <c r="Y30" i="203" s="1"/>
  <c r="V30" i="203"/>
  <c r="X30" i="203" s="1"/>
  <c r="K17" i="196"/>
  <c r="E18" i="195"/>
  <c r="M17" i="196"/>
  <c r="L17" i="196"/>
  <c r="AC31" i="203"/>
  <c r="AB31" i="203"/>
  <c r="R31" i="203"/>
  <c r="N17" i="196"/>
  <c r="O17" i="196"/>
  <c r="S31" i="203"/>
  <c r="AD31" i="203" l="1"/>
  <c r="T31" i="203"/>
  <c r="U31" i="203" s="1"/>
  <c r="AA32" i="203"/>
  <c r="Q32" i="203"/>
  <c r="AE30" i="203"/>
  <c r="AG30" i="203"/>
  <c r="AI30" i="203" s="1"/>
  <c r="AF30" i="203"/>
  <c r="AH30" i="203"/>
  <c r="V31" i="203"/>
  <c r="X31" i="203" s="1"/>
  <c r="K18" i="196"/>
  <c r="H19" i="195"/>
  <c r="I19" i="195"/>
  <c r="AC32" i="203"/>
  <c r="S32" i="203"/>
  <c r="R32" i="203"/>
  <c r="N18" i="196"/>
  <c r="M18" i="196"/>
  <c r="O18" i="196"/>
  <c r="L18" i="196"/>
  <c r="AB32" i="203"/>
  <c r="W31" i="203" l="1"/>
  <c r="Y31" i="203" s="1"/>
  <c r="T32" i="203"/>
  <c r="U32" i="203" s="1"/>
  <c r="AD32" i="203"/>
  <c r="Q33" i="203"/>
  <c r="AA33" i="203"/>
  <c r="AE31" i="203"/>
  <c r="AF31" i="203"/>
  <c r="AG31" i="203"/>
  <c r="AI31" i="203" s="1"/>
  <c r="AH31" i="203"/>
  <c r="W32" i="203"/>
  <c r="Y32" i="203" s="1"/>
  <c r="K19" i="196"/>
  <c r="C28" i="195"/>
  <c r="D28" i="195"/>
  <c r="E28" i="195"/>
  <c r="B36" i="195"/>
  <c r="C29" i="195"/>
  <c r="AB33" i="203"/>
  <c r="AC33" i="203"/>
  <c r="S33" i="203"/>
  <c r="E29" i="195"/>
  <c r="E30" i="195"/>
  <c r="N19" i="196"/>
  <c r="M19" i="196"/>
  <c r="L19" i="196"/>
  <c r="C30" i="195"/>
  <c r="D29" i="195"/>
  <c r="R33" i="203"/>
  <c r="O19" i="196"/>
  <c r="D30" i="195"/>
  <c r="AD33" i="203" l="1"/>
  <c r="AE33" i="203" s="1"/>
  <c r="AG33" i="203" s="1"/>
  <c r="AI33" i="203" s="1"/>
  <c r="T33" i="203"/>
  <c r="U33" i="203" s="1"/>
  <c r="AA34" i="203"/>
  <c r="Q34" i="203"/>
  <c r="V32" i="203"/>
  <c r="X32" i="203" s="1"/>
  <c r="AE32" i="203"/>
  <c r="AG32" i="203" s="1"/>
  <c r="AI32" i="203" s="1"/>
  <c r="AF32" i="203"/>
  <c r="AH32" i="203"/>
  <c r="AF33" i="203"/>
  <c r="AH33" i="203" s="1"/>
  <c r="W33" i="203"/>
  <c r="Y33" i="203" s="1"/>
  <c r="V33" i="203"/>
  <c r="X33" i="203" s="1"/>
  <c r="K20" i="196"/>
  <c r="B37" i="195"/>
  <c r="R34" i="203"/>
  <c r="O20" i="196"/>
  <c r="L20" i="196"/>
  <c r="S34" i="203"/>
  <c r="AB34" i="203"/>
  <c r="AC34" i="203"/>
  <c r="N20" i="196"/>
  <c r="M20" i="196"/>
  <c r="T34" i="203" l="1"/>
  <c r="U34" i="203" s="1"/>
  <c r="AD34" i="203"/>
  <c r="AE34" i="203" s="1"/>
  <c r="Q35" i="203"/>
  <c r="AA35" i="203"/>
  <c r="W34" i="203"/>
  <c r="Y34" i="203" s="1"/>
  <c r="V34" i="203"/>
  <c r="X34" i="203" s="1"/>
  <c r="AG34" i="203"/>
  <c r="AI34" i="203" s="1"/>
  <c r="AF34" i="203"/>
  <c r="AH34" i="203" s="1"/>
  <c r="K21" i="196"/>
  <c r="B38" i="195"/>
  <c r="L21" i="196"/>
  <c r="N21" i="196"/>
  <c r="M21" i="196"/>
  <c r="AB35" i="203"/>
  <c r="R35" i="203"/>
  <c r="AC35" i="203"/>
  <c r="O21" i="196"/>
  <c r="S35" i="203"/>
  <c r="AD35" i="203" l="1"/>
  <c r="AE35" i="203" s="1"/>
  <c r="T35" i="203"/>
  <c r="U35" i="203" s="1"/>
  <c r="AA36" i="203"/>
  <c r="Q36" i="203"/>
  <c r="W35" i="203"/>
  <c r="Y35" i="203" s="1"/>
  <c r="AG35" i="203"/>
  <c r="AI35" i="203" s="1"/>
  <c r="AF35" i="203"/>
  <c r="AH35" i="203" s="1"/>
  <c r="V35" i="203"/>
  <c r="X35" i="203" s="1"/>
  <c r="K22" i="196"/>
  <c r="B39" i="195"/>
  <c r="N22" i="196"/>
  <c r="M22" i="196"/>
  <c r="L22" i="196"/>
  <c r="AB36" i="203"/>
  <c r="O22" i="196"/>
  <c r="S36" i="203"/>
  <c r="AC36" i="203"/>
  <c r="R36" i="203"/>
  <c r="T36" i="203" l="1"/>
  <c r="U36" i="203" s="1"/>
  <c r="AD36" i="203"/>
  <c r="AE36" i="203" s="1"/>
  <c r="Q37" i="203"/>
  <c r="AA37" i="203"/>
  <c r="AG36" i="203"/>
  <c r="AI36" i="203" s="1"/>
  <c r="AF36" i="203"/>
  <c r="AH36" i="203" s="1"/>
  <c r="W36" i="203"/>
  <c r="Y36" i="203" s="1"/>
  <c r="V36" i="203"/>
  <c r="X36" i="203" s="1"/>
  <c r="K23" i="196"/>
  <c r="B40" i="195"/>
  <c r="AB37" i="203"/>
  <c r="L23" i="196"/>
  <c r="M23" i="196"/>
  <c r="N23" i="196"/>
  <c r="S37" i="203"/>
  <c r="AC37" i="203"/>
  <c r="O23" i="196"/>
  <c r="R37" i="203"/>
  <c r="AD37" i="203" l="1"/>
  <c r="AE37" i="203" s="1"/>
  <c r="T37" i="203"/>
  <c r="U37" i="203" s="1"/>
  <c r="AA38" i="203"/>
  <c r="Q38" i="203"/>
  <c r="AG37" i="203"/>
  <c r="AI37" i="203" s="1"/>
  <c r="AF37" i="203"/>
  <c r="AH37" i="203" s="1"/>
  <c r="W37" i="203"/>
  <c r="Y37" i="203" s="1"/>
  <c r="V37" i="203"/>
  <c r="X37" i="203" s="1"/>
  <c r="K24" i="196"/>
  <c r="B41" i="195"/>
  <c r="N24" i="196"/>
  <c r="R38" i="203"/>
  <c r="L24" i="196"/>
  <c r="AB38" i="203"/>
  <c r="S38" i="203"/>
  <c r="M24" i="196"/>
  <c r="AC38" i="203"/>
  <c r="O24" i="196"/>
  <c r="T38" i="203" l="1"/>
  <c r="U38" i="203" s="1"/>
  <c r="AD38" i="203"/>
  <c r="AE38" i="203" s="1"/>
  <c r="Q39" i="203"/>
  <c r="AA39" i="203"/>
  <c r="AF38" i="203"/>
  <c r="AH38" i="203" s="1"/>
  <c r="W38" i="203"/>
  <c r="Y38" i="203" s="1"/>
  <c r="V38" i="203"/>
  <c r="X38" i="203" s="1"/>
  <c r="K25" i="196"/>
  <c r="B42" i="195"/>
  <c r="AB39" i="203"/>
  <c r="L25" i="196"/>
  <c r="S39" i="203"/>
  <c r="AC39" i="203"/>
  <c r="N25" i="196"/>
  <c r="M25" i="196"/>
  <c r="O25" i="196"/>
  <c r="R39" i="203"/>
  <c r="AG38" i="203" l="1"/>
  <c r="AI38" i="203" s="1"/>
  <c r="AD39" i="203"/>
  <c r="AE39" i="203" s="1"/>
  <c r="T39" i="203"/>
  <c r="U39" i="203" s="1"/>
  <c r="AA40" i="203"/>
  <c r="Q40" i="203"/>
  <c r="AG39" i="203"/>
  <c r="AI39" i="203" s="1"/>
  <c r="AF39" i="203"/>
  <c r="AH39" i="203" s="1"/>
  <c r="W39" i="203"/>
  <c r="Y39" i="203" s="1"/>
  <c r="K26" i="196"/>
  <c r="B43" i="195"/>
  <c r="AC40" i="203"/>
  <c r="O26" i="196"/>
  <c r="L26" i="196"/>
  <c r="R40" i="203"/>
  <c r="N26" i="196"/>
  <c r="S40" i="203"/>
  <c r="M26" i="196"/>
  <c r="AB40" i="203"/>
  <c r="V39" i="203" l="1"/>
  <c r="X39" i="203" s="1"/>
  <c r="AD40" i="203"/>
  <c r="AE40" i="203" s="1"/>
  <c r="T40" i="203"/>
  <c r="U40" i="203" s="1"/>
  <c r="AA41" i="203"/>
  <c r="Q41" i="203"/>
  <c r="W40" i="203"/>
  <c r="Y40" i="203" s="1"/>
  <c r="AG40" i="203"/>
  <c r="AI40" i="203" s="1"/>
  <c r="AF40" i="203"/>
  <c r="AH40" i="203" s="1"/>
  <c r="V40" i="203"/>
  <c r="X40" i="203" s="1"/>
  <c r="K27" i="196"/>
  <c r="B44" i="195"/>
  <c r="M27" i="196"/>
  <c r="R41" i="203"/>
  <c r="N27" i="196"/>
  <c r="L27" i="196"/>
  <c r="S41" i="203"/>
  <c r="AC41" i="203"/>
  <c r="AB41" i="203"/>
  <c r="O27" i="196"/>
  <c r="T41" i="203" l="1"/>
  <c r="U41" i="203" s="1"/>
  <c r="AD41" i="203"/>
  <c r="AE41" i="203" s="1"/>
  <c r="Q42" i="203"/>
  <c r="AA42" i="203"/>
  <c r="W41" i="203"/>
  <c r="Y41" i="203" s="1"/>
  <c r="V41" i="203"/>
  <c r="X41" i="203" s="1"/>
  <c r="K28" i="196"/>
  <c r="B45" i="195"/>
  <c r="L28" i="196"/>
  <c r="O28" i="196"/>
  <c r="S42" i="203"/>
  <c r="R42" i="203"/>
  <c r="AC42" i="203"/>
  <c r="AB42" i="203"/>
  <c r="N28" i="196"/>
  <c r="M28" i="196"/>
  <c r="AD42" i="203" l="1"/>
  <c r="AE42" i="203" s="1"/>
  <c r="T42" i="203"/>
  <c r="U42" i="203" s="1"/>
  <c r="AF41" i="203"/>
  <c r="AH41" i="203" s="1"/>
  <c r="AG41" i="203"/>
  <c r="AI41" i="203" s="1"/>
  <c r="AA43" i="203"/>
  <c r="Q43" i="203"/>
  <c r="AG42" i="203"/>
  <c r="AI42" i="203" s="1"/>
  <c r="AF42" i="203"/>
  <c r="AH42" i="203" s="1"/>
  <c r="W42" i="203"/>
  <c r="Y42" i="203" s="1"/>
  <c r="V42" i="203"/>
  <c r="X42" i="203" s="1"/>
  <c r="K29" i="196"/>
  <c r="B46" i="195"/>
  <c r="O29" i="196"/>
  <c r="R43" i="203"/>
  <c r="N29" i="196"/>
  <c r="L29" i="196"/>
  <c r="S43" i="203"/>
  <c r="M29" i="196"/>
  <c r="AB43" i="203"/>
  <c r="AC43" i="203"/>
  <c r="T43" i="203" l="1"/>
  <c r="U43" i="203" s="1"/>
  <c r="AD43" i="203"/>
  <c r="AE43" i="203" s="1"/>
  <c r="Q44" i="203"/>
  <c r="AA44" i="203"/>
  <c r="AG43" i="203"/>
  <c r="AI43" i="203" s="1"/>
  <c r="AF43" i="203"/>
  <c r="AH43" i="203" s="1"/>
  <c r="W43" i="203"/>
  <c r="Y43" i="203" s="1"/>
  <c r="V43" i="203"/>
  <c r="X43" i="203" s="1"/>
  <c r="K30" i="196"/>
  <c r="B47" i="195"/>
  <c r="L30" i="196"/>
  <c r="O30" i="196"/>
  <c r="N30" i="196"/>
  <c r="AC44" i="203"/>
  <c r="M30" i="196"/>
  <c r="S44" i="203"/>
  <c r="R44" i="203"/>
  <c r="AB44" i="203"/>
  <c r="AD44" i="203" l="1"/>
  <c r="AE44" i="203" s="1"/>
  <c r="T44" i="203"/>
  <c r="U44" i="203" s="1"/>
  <c r="AA45" i="203"/>
  <c r="Q45" i="203"/>
  <c r="AG44" i="203"/>
  <c r="AI44" i="203" s="1"/>
  <c r="AF44" i="203"/>
  <c r="AH44" i="203" s="1"/>
  <c r="W44" i="203"/>
  <c r="Y44" i="203" s="1"/>
  <c r="V44" i="203"/>
  <c r="X44" i="203" s="1"/>
  <c r="K31" i="196"/>
  <c r="B48" i="195"/>
  <c r="O31" i="196"/>
  <c r="AB45" i="203"/>
  <c r="S45" i="203"/>
  <c r="M31" i="196"/>
  <c r="N31" i="196"/>
  <c r="L31" i="196"/>
  <c r="AC45" i="203"/>
  <c r="R45" i="203"/>
  <c r="T45" i="203" l="1"/>
  <c r="U45" i="203" s="1"/>
  <c r="AD45" i="203"/>
  <c r="AE45" i="203" s="1"/>
  <c r="Q46" i="203"/>
  <c r="AA46" i="203"/>
  <c r="AG45" i="203"/>
  <c r="AI45" i="203" s="1"/>
  <c r="AF45" i="203"/>
  <c r="AH45" i="203" s="1"/>
  <c r="W45" i="203"/>
  <c r="Y45" i="203" s="1"/>
  <c r="V45" i="203"/>
  <c r="X45" i="203" s="1"/>
  <c r="K32" i="196"/>
  <c r="B49" i="195"/>
  <c r="AC46" i="203"/>
  <c r="L32" i="196"/>
  <c r="M32" i="196"/>
  <c r="O32" i="196"/>
  <c r="S46" i="203"/>
  <c r="AB46" i="203"/>
  <c r="N32" i="196"/>
  <c r="R46" i="203"/>
  <c r="AD46" i="203" l="1"/>
  <c r="AE46" i="203" s="1"/>
  <c r="T46" i="203"/>
  <c r="U46" i="203" s="1"/>
  <c r="AA47" i="203"/>
  <c r="Q47" i="203"/>
  <c r="AG46" i="203"/>
  <c r="AI46" i="203" s="1"/>
  <c r="AF46" i="203"/>
  <c r="AH46" i="203" s="1"/>
  <c r="W46" i="203"/>
  <c r="Y46" i="203" s="1"/>
  <c r="V46" i="203"/>
  <c r="X46" i="203" s="1"/>
  <c r="K33" i="196"/>
  <c r="B50" i="195"/>
  <c r="N33" i="196"/>
  <c r="M33" i="196"/>
  <c r="L33" i="196"/>
  <c r="AC47" i="203"/>
  <c r="O33" i="196"/>
  <c r="S47" i="203"/>
  <c r="R47" i="203"/>
  <c r="AB47" i="203"/>
  <c r="T47" i="203" l="1"/>
  <c r="U47" i="203" s="1"/>
  <c r="AD47" i="203"/>
  <c r="AE47" i="203" s="1"/>
  <c r="Q48" i="203"/>
  <c r="AA48" i="203"/>
  <c r="AG47" i="203"/>
  <c r="AI47" i="203" s="1"/>
  <c r="AF47" i="203"/>
  <c r="AH47" i="203" s="1"/>
  <c r="W47" i="203"/>
  <c r="Y47" i="203" s="1"/>
  <c r="V47" i="203"/>
  <c r="X47" i="203" s="1"/>
  <c r="K34" i="196"/>
  <c r="B51" i="195"/>
  <c r="L34" i="196"/>
  <c r="N34" i="196"/>
  <c r="R48" i="203"/>
  <c r="M34" i="196"/>
  <c r="S48" i="203"/>
  <c r="O34" i="196"/>
  <c r="AB48" i="203"/>
  <c r="AC48" i="203"/>
  <c r="AD48" i="203" l="1"/>
  <c r="AE48" i="203" s="1"/>
  <c r="T48" i="203"/>
  <c r="U48" i="203" s="1"/>
  <c r="AA49" i="203"/>
  <c r="Q49" i="203"/>
  <c r="AG48" i="203"/>
  <c r="AI48" i="203" s="1"/>
  <c r="AF48" i="203"/>
  <c r="AH48" i="203" s="1"/>
  <c r="W48" i="203"/>
  <c r="Y48" i="203" s="1"/>
  <c r="V48" i="203"/>
  <c r="X48" i="203" s="1"/>
  <c r="K35" i="196"/>
  <c r="B52" i="195"/>
  <c r="N35" i="196"/>
  <c r="AC49" i="203"/>
  <c r="M35" i="196"/>
  <c r="L35" i="196"/>
  <c r="O35" i="196"/>
  <c r="R49" i="203"/>
  <c r="AB49" i="203"/>
  <c r="S49" i="203"/>
  <c r="T49" i="203" l="1"/>
  <c r="U49" i="203" s="1"/>
  <c r="AD49" i="203"/>
  <c r="AE49" i="203" s="1"/>
  <c r="Q50" i="203"/>
  <c r="AA50" i="203"/>
  <c r="AG49" i="203"/>
  <c r="AI49" i="203" s="1"/>
  <c r="AF49" i="203"/>
  <c r="AH49" i="203" s="1"/>
  <c r="W49" i="203"/>
  <c r="Y49" i="203" s="1"/>
  <c r="V49" i="203"/>
  <c r="X49" i="203" s="1"/>
  <c r="K36" i="196"/>
  <c r="B53" i="195"/>
  <c r="R50" i="203"/>
  <c r="AC50" i="203"/>
  <c r="L36" i="196"/>
  <c r="N36" i="196"/>
  <c r="AB50" i="203"/>
  <c r="M36" i="196"/>
  <c r="O36" i="196"/>
  <c r="S50" i="203"/>
  <c r="T50" i="203" l="1"/>
  <c r="U50" i="203" s="1"/>
  <c r="AD50" i="203"/>
  <c r="AE50" i="203" s="1"/>
  <c r="Q51" i="203"/>
  <c r="AA51" i="203"/>
  <c r="AF50" i="203"/>
  <c r="AH50" i="203" s="1"/>
  <c r="W50" i="203"/>
  <c r="Y50" i="203" s="1"/>
  <c r="V50" i="203"/>
  <c r="X50" i="203" s="1"/>
  <c r="K37" i="196"/>
  <c r="B54" i="195"/>
  <c r="AC51" i="203"/>
  <c r="O37" i="196"/>
  <c r="M37" i="196"/>
  <c r="N37" i="196"/>
  <c r="AB51" i="203"/>
  <c r="L37" i="196"/>
  <c r="R51" i="203"/>
  <c r="S51" i="203"/>
  <c r="AG50" i="203" l="1"/>
  <c r="AI50" i="203" s="1"/>
  <c r="AD51" i="203"/>
  <c r="AE51" i="203" s="1"/>
  <c r="T51" i="203"/>
  <c r="U51" i="203" s="1"/>
  <c r="AA52" i="203"/>
  <c r="Q52" i="203"/>
  <c r="AG51" i="203"/>
  <c r="AI51" i="203" s="1"/>
  <c r="AF51" i="203"/>
  <c r="AH51" i="203" s="1"/>
  <c r="W51" i="203"/>
  <c r="Y51" i="203" s="1"/>
  <c r="K38" i="196"/>
  <c r="B55" i="195"/>
  <c r="M38" i="196"/>
  <c r="L38" i="196"/>
  <c r="O38" i="196"/>
  <c r="N38" i="196"/>
  <c r="AB52" i="203"/>
  <c r="R52" i="203"/>
  <c r="AC52" i="203"/>
  <c r="S52" i="203"/>
  <c r="V51" i="203" l="1"/>
  <c r="X51" i="203" s="1"/>
  <c r="T52" i="203"/>
  <c r="U52" i="203" s="1"/>
  <c r="AD52" i="203"/>
  <c r="AE52" i="203" s="1"/>
  <c r="Q53" i="203"/>
  <c r="AA53" i="203"/>
  <c r="AG52" i="203"/>
  <c r="AI52" i="203" s="1"/>
  <c r="AF52" i="203"/>
  <c r="AH52" i="203" s="1"/>
  <c r="W52" i="203"/>
  <c r="Y52" i="203" s="1"/>
  <c r="V52" i="203"/>
  <c r="X52" i="203" s="1"/>
  <c r="K39" i="196"/>
  <c r="B56" i="195"/>
  <c r="AC53" i="203"/>
  <c r="O39" i="196"/>
  <c r="M39" i="196"/>
  <c r="N39" i="196"/>
  <c r="S53" i="203"/>
  <c r="R53" i="203"/>
  <c r="L39" i="196"/>
  <c r="AB53" i="203"/>
  <c r="AD53" i="203" l="1"/>
  <c r="AE53" i="203" s="1"/>
  <c r="T53" i="203"/>
  <c r="U53" i="203" s="1"/>
  <c r="AA54" i="203"/>
  <c r="Q54" i="203"/>
  <c r="AG53" i="203"/>
  <c r="AI53" i="203" s="1"/>
  <c r="AF53" i="203"/>
  <c r="AH53" i="203" s="1"/>
  <c r="W53" i="203"/>
  <c r="Y53" i="203" s="1"/>
  <c r="V53" i="203"/>
  <c r="X53" i="203" s="1"/>
  <c r="K40" i="196"/>
  <c r="B57" i="195"/>
  <c r="S54" i="203"/>
  <c r="L40" i="196"/>
  <c r="AB54" i="203"/>
  <c r="R54" i="203"/>
  <c r="N40" i="196"/>
  <c r="AC54" i="203"/>
  <c r="M40" i="196"/>
  <c r="O40" i="196"/>
  <c r="T54" i="203" l="1"/>
  <c r="U54" i="203" s="1"/>
  <c r="AD54" i="203"/>
  <c r="AE54" i="203" s="1"/>
  <c r="Q55" i="203"/>
  <c r="AA55" i="203"/>
  <c r="AG54" i="203"/>
  <c r="AI54" i="203" s="1"/>
  <c r="AF54" i="203"/>
  <c r="AH54" i="203" s="1"/>
  <c r="W54" i="203"/>
  <c r="Y54" i="203" s="1"/>
  <c r="V54" i="203"/>
  <c r="X54" i="203" s="1"/>
  <c r="K41" i="196"/>
  <c r="B58" i="195"/>
  <c r="N41" i="196"/>
  <c r="R55" i="203"/>
  <c r="S55" i="203"/>
  <c r="AC55" i="203"/>
  <c r="L41" i="196"/>
  <c r="M41" i="196"/>
  <c r="O41" i="196"/>
  <c r="AB55" i="203"/>
  <c r="AD55" i="203" l="1"/>
  <c r="AE55" i="203" s="1"/>
  <c r="T55" i="203"/>
  <c r="U55" i="203" s="1"/>
  <c r="AA56" i="203"/>
  <c r="Q56" i="203"/>
  <c r="W55" i="203"/>
  <c r="Y55" i="203" s="1"/>
  <c r="AG55" i="203"/>
  <c r="AI55" i="203" s="1"/>
  <c r="AF55" i="203"/>
  <c r="AH55" i="203" s="1"/>
  <c r="V55" i="203"/>
  <c r="X55" i="203" s="1"/>
  <c r="K42" i="196"/>
  <c r="B59" i="195"/>
  <c r="S56" i="203"/>
  <c r="R56" i="203"/>
  <c r="M42" i="196"/>
  <c r="AB56" i="203"/>
  <c r="O42" i="196"/>
  <c r="AC56" i="203"/>
  <c r="L42" i="196"/>
  <c r="N42" i="196"/>
  <c r="T56" i="203" l="1"/>
  <c r="U56" i="203" s="1"/>
  <c r="AD56" i="203"/>
  <c r="AE56" i="203" s="1"/>
  <c r="Q57" i="203"/>
  <c r="AA57" i="203"/>
  <c r="AF56" i="203"/>
  <c r="AH56" i="203" s="1"/>
  <c r="W56" i="203"/>
  <c r="Y56" i="203" s="1"/>
  <c r="V56" i="203"/>
  <c r="X56" i="203" s="1"/>
  <c r="K43" i="196"/>
  <c r="B60" i="195"/>
  <c r="AC57" i="203"/>
  <c r="S57" i="203"/>
  <c r="AB57" i="203"/>
  <c r="N43" i="196"/>
  <c r="R57" i="203"/>
  <c r="O43" i="196"/>
  <c r="L43" i="196"/>
  <c r="M43" i="196"/>
  <c r="AG56" i="203" l="1"/>
  <c r="AI56" i="203" s="1"/>
  <c r="AD57" i="203"/>
  <c r="AE57" i="203" s="1"/>
  <c r="T57" i="203"/>
  <c r="U57" i="203" s="1"/>
  <c r="AA58" i="203"/>
  <c r="Q58" i="203"/>
  <c r="AG57" i="203"/>
  <c r="AI57" i="203" s="1"/>
  <c r="AF57" i="203"/>
  <c r="AH57" i="203" s="1"/>
  <c r="W57" i="203"/>
  <c r="Y57" i="203" s="1"/>
  <c r="K44" i="196"/>
  <c r="B61" i="195"/>
  <c r="R58" i="203"/>
  <c r="AB58" i="203"/>
  <c r="O44" i="196"/>
  <c r="S58" i="203"/>
  <c r="M44" i="196"/>
  <c r="L44" i="196"/>
  <c r="N44" i="196"/>
  <c r="AC58" i="203"/>
  <c r="V57" i="203" l="1"/>
  <c r="X57" i="203" s="1"/>
  <c r="T58" i="203"/>
  <c r="U58" i="203" s="1"/>
  <c r="AD58" i="203"/>
  <c r="AE58" i="203" s="1"/>
  <c r="Q59" i="203"/>
  <c r="AA59" i="203"/>
  <c r="AF58" i="203"/>
  <c r="AH58" i="203" s="1"/>
  <c r="W58" i="203"/>
  <c r="Y58" i="203" s="1"/>
  <c r="V58" i="203"/>
  <c r="X58" i="203" s="1"/>
  <c r="K45" i="196"/>
  <c r="B62" i="195"/>
  <c r="M45" i="196"/>
  <c r="L45" i="196"/>
  <c r="R59" i="203"/>
  <c r="S59" i="203"/>
  <c r="AB59" i="203"/>
  <c r="N45" i="196"/>
  <c r="O45" i="196"/>
  <c r="AC59" i="203"/>
  <c r="AD59" i="203" l="1"/>
  <c r="AE59" i="203" s="1"/>
  <c r="T59" i="203"/>
  <c r="U59" i="203" s="1"/>
  <c r="AG58" i="203"/>
  <c r="AI58" i="203" s="1"/>
  <c r="AA60" i="203"/>
  <c r="Q60" i="203"/>
  <c r="W59" i="203"/>
  <c r="Y59" i="203" s="1"/>
  <c r="AG59" i="203"/>
  <c r="AI59" i="203" s="1"/>
  <c r="AF59" i="203"/>
  <c r="AH59" i="203" s="1"/>
  <c r="K46" i="196"/>
  <c r="B63" i="195"/>
  <c r="S60" i="203"/>
  <c r="AB60" i="203"/>
  <c r="R60" i="203"/>
  <c r="M46" i="196"/>
  <c r="L46" i="196"/>
  <c r="O46" i="196"/>
  <c r="AC60" i="203"/>
  <c r="N46" i="196"/>
  <c r="T60" i="203" l="1"/>
  <c r="U60" i="203" s="1"/>
  <c r="AD60" i="203"/>
  <c r="AE60" i="203" s="1"/>
  <c r="Q61" i="203"/>
  <c r="AA61" i="203"/>
  <c r="V59" i="203"/>
  <c r="X59" i="203" s="1"/>
  <c r="AG60" i="203"/>
  <c r="AI60" i="203" s="1"/>
  <c r="AF60" i="203"/>
  <c r="AH60" i="203" s="1"/>
  <c r="W60" i="203"/>
  <c r="Y60" i="203" s="1"/>
  <c r="V60" i="203"/>
  <c r="X60" i="203" s="1"/>
  <c r="K47" i="196"/>
  <c r="B64" i="195"/>
  <c r="AC61" i="203"/>
  <c r="N47" i="196"/>
  <c r="AB61" i="203"/>
  <c r="O47" i="196"/>
  <c r="R61" i="203"/>
  <c r="M47" i="196"/>
  <c r="S61" i="203"/>
  <c r="L47" i="196"/>
  <c r="AD61" i="203" l="1"/>
  <c r="AE61" i="203" s="1"/>
  <c r="AG61" i="203" s="1"/>
  <c r="AI61" i="203" s="1"/>
  <c r="T61" i="203"/>
  <c r="U61" i="203" s="1"/>
  <c r="AA62" i="203"/>
  <c r="Q62" i="203"/>
  <c r="AF61" i="203"/>
  <c r="AH61" i="203" s="1"/>
  <c r="W61" i="203"/>
  <c r="Y61" i="203" s="1"/>
  <c r="V61" i="203"/>
  <c r="X61" i="203" s="1"/>
  <c r="K48" i="196"/>
  <c r="B65" i="195"/>
  <c r="L48" i="196"/>
  <c r="R62" i="203"/>
  <c r="N48" i="196"/>
  <c r="AB62" i="203"/>
  <c r="M48" i="196"/>
  <c r="O48" i="196"/>
  <c r="S62" i="203"/>
  <c r="AC62" i="203"/>
  <c r="T62" i="203" l="1"/>
  <c r="U62" i="203" s="1"/>
  <c r="AD62" i="203"/>
  <c r="AE62" i="203" s="1"/>
  <c r="Q63" i="203"/>
  <c r="AA63" i="203"/>
  <c r="AF62" i="203"/>
  <c r="AH62" i="203" s="1"/>
  <c r="W62" i="203"/>
  <c r="Y62" i="203" s="1"/>
  <c r="V62" i="203"/>
  <c r="X62" i="203" s="1"/>
  <c r="K49" i="196"/>
  <c r="B66" i="195"/>
  <c r="M49" i="196"/>
  <c r="N49" i="196"/>
  <c r="S63" i="203"/>
  <c r="AC63" i="203"/>
  <c r="AB63" i="203"/>
  <c r="L49" i="196"/>
  <c r="R63" i="203"/>
  <c r="O49" i="196"/>
  <c r="AG62" i="203" l="1"/>
  <c r="AI62" i="203" s="1"/>
  <c r="AD63" i="203"/>
  <c r="AE63" i="203" s="1"/>
  <c r="T63" i="203"/>
  <c r="U63" i="203" s="1"/>
  <c r="AA64" i="203"/>
  <c r="Q64" i="203"/>
  <c r="W63" i="203"/>
  <c r="Y63" i="203" s="1"/>
  <c r="AG63" i="203"/>
  <c r="AI63" i="203" s="1"/>
  <c r="AF63" i="203"/>
  <c r="AH63" i="203" s="1"/>
  <c r="K50" i="196"/>
  <c r="B67" i="195"/>
  <c r="O50" i="196"/>
  <c r="L50" i="196"/>
  <c r="S64" i="203"/>
  <c r="M50" i="196"/>
  <c r="R64" i="203"/>
  <c r="AB64" i="203"/>
  <c r="AC64" i="203"/>
  <c r="N50" i="196"/>
  <c r="V63" i="203" l="1"/>
  <c r="X63" i="203" s="1"/>
  <c r="T64" i="203"/>
  <c r="U64" i="203" s="1"/>
  <c r="AD64" i="203"/>
  <c r="AE64" i="203" s="1"/>
  <c r="Q65" i="203"/>
  <c r="AA65" i="203"/>
  <c r="W64" i="203"/>
  <c r="Y64" i="203" s="1"/>
  <c r="V64" i="203"/>
  <c r="X64" i="203" s="1"/>
  <c r="K51" i="196"/>
  <c r="B68" i="195"/>
  <c r="L51" i="196"/>
  <c r="S65" i="203"/>
  <c r="N51" i="196"/>
  <c r="R65" i="203"/>
  <c r="M51" i="196"/>
  <c r="AB65" i="203"/>
  <c r="AC65" i="203"/>
  <c r="O51" i="196"/>
  <c r="AD65" i="203" l="1"/>
  <c r="AE65" i="203" s="1"/>
  <c r="T65" i="203"/>
  <c r="U65" i="203" s="1"/>
  <c r="AG64" i="203"/>
  <c r="AI64" i="203" s="1"/>
  <c r="AF64" i="203"/>
  <c r="AH64" i="203" s="1"/>
  <c r="AA66" i="203"/>
  <c r="Q66" i="203"/>
  <c r="AG65" i="203"/>
  <c r="AI65" i="203" s="1"/>
  <c r="AF65" i="203"/>
  <c r="AH65" i="203" s="1"/>
  <c r="K52" i="196"/>
  <c r="B69" i="195"/>
  <c r="O52" i="196"/>
  <c r="M52" i="196"/>
  <c r="L52" i="196"/>
  <c r="AC66" i="203"/>
  <c r="S66" i="203"/>
  <c r="R66" i="203"/>
  <c r="N52" i="196"/>
  <c r="AB66" i="203"/>
  <c r="V65" i="203" l="1"/>
  <c r="X65" i="203" s="1"/>
  <c r="T66" i="203"/>
  <c r="U66" i="203" s="1"/>
  <c r="AD66" i="203"/>
  <c r="AE66" i="203" s="1"/>
  <c r="Q67" i="203"/>
  <c r="AA67" i="203"/>
  <c r="W65" i="203"/>
  <c r="Y65" i="203" s="1"/>
  <c r="W66" i="203"/>
  <c r="Y66" i="203" s="1"/>
  <c r="AG66" i="203"/>
  <c r="AI66" i="203" s="1"/>
  <c r="AF66" i="203"/>
  <c r="AH66" i="203" s="1"/>
  <c r="V66" i="203"/>
  <c r="X66" i="203" s="1"/>
  <c r="K53" i="196"/>
  <c r="B70" i="195"/>
  <c r="AB67" i="203"/>
  <c r="R67" i="203"/>
  <c r="S67" i="203"/>
  <c r="AC67" i="203"/>
  <c r="N53" i="196"/>
  <c r="L53" i="196"/>
  <c r="M53" i="196"/>
  <c r="O53" i="196"/>
  <c r="AD67" i="203" l="1"/>
  <c r="AE67" i="203" s="1"/>
  <c r="T67" i="203"/>
  <c r="U67" i="203" s="1"/>
  <c r="AA68" i="203"/>
  <c r="Q68" i="203"/>
  <c r="AG67" i="203"/>
  <c r="AI67" i="203" s="1"/>
  <c r="AF67" i="203"/>
  <c r="AH67" i="203" s="1"/>
  <c r="W67" i="203"/>
  <c r="Y67" i="203" s="1"/>
  <c r="V67" i="203"/>
  <c r="X67" i="203" s="1"/>
  <c r="K54" i="196"/>
  <c r="B71" i="195"/>
  <c r="L54" i="196"/>
  <c r="M54" i="196"/>
  <c r="AB68" i="203"/>
  <c r="S68" i="203"/>
  <c r="N54" i="196"/>
  <c r="O54" i="196"/>
  <c r="R68" i="203"/>
  <c r="AC68" i="203"/>
  <c r="T68" i="203" l="1"/>
  <c r="U68" i="203" s="1"/>
  <c r="AD68" i="203"/>
  <c r="AE68" i="203" s="1"/>
  <c r="Q69" i="203"/>
  <c r="AA69" i="203"/>
  <c r="W68" i="203"/>
  <c r="Y68" i="203" s="1"/>
  <c r="AG68" i="203"/>
  <c r="AI68" i="203" s="1"/>
  <c r="AF68" i="203"/>
  <c r="AH68" i="203" s="1"/>
  <c r="V68" i="203"/>
  <c r="X68" i="203" s="1"/>
  <c r="K55" i="196"/>
  <c r="B72" i="195"/>
  <c r="AB69" i="203"/>
  <c r="L55" i="196"/>
  <c r="M55" i="196"/>
  <c r="AC69" i="203"/>
  <c r="S69" i="203"/>
  <c r="O55" i="196"/>
  <c r="N55" i="196"/>
  <c r="R69" i="203"/>
  <c r="AD69" i="203" l="1"/>
  <c r="AE69" i="203" s="1"/>
  <c r="T69" i="203"/>
  <c r="U69" i="203" s="1"/>
  <c r="AA70" i="203"/>
  <c r="Q70" i="203"/>
  <c r="AG69" i="203"/>
  <c r="AI69" i="203" s="1"/>
  <c r="AF69" i="203"/>
  <c r="AH69" i="203" s="1"/>
  <c r="W69" i="203"/>
  <c r="Y69" i="203" s="1"/>
  <c r="V69" i="203"/>
  <c r="X69" i="203" s="1"/>
  <c r="K56" i="196"/>
  <c r="B73" i="195"/>
  <c r="M56" i="196"/>
  <c r="O56" i="196"/>
  <c r="S70" i="203"/>
  <c r="N56" i="196"/>
  <c r="AB70" i="203"/>
  <c r="AC70" i="203"/>
  <c r="R70" i="203"/>
  <c r="L56" i="196"/>
  <c r="AD70" i="203" l="1"/>
  <c r="AE70" i="203" s="1"/>
  <c r="T70" i="203"/>
  <c r="U70" i="203" s="1"/>
  <c r="AA71" i="203"/>
  <c r="Q71" i="203"/>
  <c r="W70" i="203"/>
  <c r="Y70" i="203" s="1"/>
  <c r="AG70" i="203"/>
  <c r="AI70" i="203" s="1"/>
  <c r="AF70" i="203"/>
  <c r="AH70" i="203" s="1"/>
  <c r="V70" i="203"/>
  <c r="X70" i="203" s="1"/>
  <c r="K57" i="196"/>
  <c r="B74" i="195"/>
  <c r="O57" i="196"/>
  <c r="AB71" i="203"/>
  <c r="S71" i="203"/>
  <c r="L57" i="196"/>
  <c r="N57" i="196"/>
  <c r="R71" i="203"/>
  <c r="AC71" i="203"/>
  <c r="M57" i="196"/>
  <c r="T71" i="203" l="1"/>
  <c r="U71" i="203" s="1"/>
  <c r="AD71" i="203"/>
  <c r="AE71" i="203" s="1"/>
  <c r="Q72" i="203"/>
  <c r="AA72" i="203"/>
  <c r="W71" i="203"/>
  <c r="Y71" i="203" s="1"/>
  <c r="AG71" i="203"/>
  <c r="AI71" i="203" s="1"/>
  <c r="AF71" i="203"/>
  <c r="AH71" i="203" s="1"/>
  <c r="V71" i="203"/>
  <c r="X71" i="203" s="1"/>
  <c r="K58" i="196"/>
  <c r="B75" i="195"/>
  <c r="N58" i="196"/>
  <c r="S72" i="203"/>
  <c r="AB72" i="203"/>
  <c r="L58" i="196"/>
  <c r="O58" i="196"/>
  <c r="M58" i="196"/>
  <c r="R72" i="203"/>
  <c r="AC72" i="203"/>
  <c r="AD72" i="203" l="1"/>
  <c r="AE72" i="203" s="1"/>
  <c r="T72" i="203"/>
  <c r="U72" i="203" s="1"/>
  <c r="AA73" i="203"/>
  <c r="Q73" i="203"/>
  <c r="AG72" i="203"/>
  <c r="AI72" i="203" s="1"/>
  <c r="AF72" i="203"/>
  <c r="AH72" i="203" s="1"/>
  <c r="W72" i="203"/>
  <c r="Y72" i="203" s="1"/>
  <c r="V72" i="203"/>
  <c r="X72" i="203" s="1"/>
  <c r="K59" i="196"/>
  <c r="B76" i="195"/>
  <c r="S73" i="203"/>
  <c r="M59" i="196"/>
  <c r="O59" i="196"/>
  <c r="AB73" i="203"/>
  <c r="L59" i="196"/>
  <c r="AC73" i="203"/>
  <c r="R73" i="203"/>
  <c r="N59" i="196"/>
  <c r="T73" i="203" l="1"/>
  <c r="U73" i="203" s="1"/>
  <c r="AD73" i="203"/>
  <c r="AE73" i="203" s="1"/>
  <c r="Q74" i="203"/>
  <c r="AA74" i="203"/>
  <c r="AG73" i="203"/>
  <c r="AI73" i="203" s="1"/>
  <c r="W73" i="203"/>
  <c r="Y73" i="203" s="1"/>
  <c r="AF73" i="203"/>
  <c r="AH73" i="203" s="1"/>
  <c r="V73" i="203"/>
  <c r="X73" i="203" s="1"/>
  <c r="K60" i="196"/>
  <c r="B77" i="195"/>
  <c r="N60" i="196"/>
  <c r="M60" i="196"/>
  <c r="O60" i="196"/>
  <c r="R74" i="203"/>
  <c r="L60" i="196"/>
  <c r="AC74" i="203"/>
  <c r="S74" i="203"/>
  <c r="AB74" i="203"/>
  <c r="AD74" i="203" l="1"/>
  <c r="AE74" i="203" s="1"/>
  <c r="T74" i="203"/>
  <c r="U74" i="203" s="1"/>
  <c r="AA75" i="203"/>
  <c r="Q75" i="203"/>
  <c r="AG74" i="203"/>
  <c r="AI74" i="203" s="1"/>
  <c r="AF74" i="203"/>
  <c r="AH74" i="203" s="1"/>
  <c r="W74" i="203"/>
  <c r="Y74" i="203" s="1"/>
  <c r="V74" i="203"/>
  <c r="X74" i="203" s="1"/>
  <c r="K61" i="196"/>
  <c r="B78" i="195"/>
  <c r="L61" i="196"/>
  <c r="N61" i="196"/>
  <c r="O61" i="196"/>
  <c r="AB75" i="203"/>
  <c r="M61" i="196"/>
  <c r="S75" i="203"/>
  <c r="AC75" i="203"/>
  <c r="R75" i="203"/>
  <c r="T75" i="203" l="1"/>
  <c r="U75" i="203" s="1"/>
  <c r="AD75" i="203"/>
  <c r="AE75" i="203" s="1"/>
  <c r="Q76" i="203"/>
  <c r="AA76" i="203"/>
  <c r="AG75" i="203"/>
  <c r="AI75" i="203" s="1"/>
  <c r="AF75" i="203"/>
  <c r="AH75" i="203" s="1"/>
  <c r="W75" i="203"/>
  <c r="Y75" i="203" s="1"/>
  <c r="V75" i="203"/>
  <c r="X75" i="203" s="1"/>
  <c r="K62" i="196"/>
  <c r="B79" i="195"/>
  <c r="AC76" i="203"/>
  <c r="O62" i="196"/>
  <c r="AB76" i="203"/>
  <c r="R76" i="203"/>
  <c r="S76" i="203"/>
  <c r="M62" i="196"/>
  <c r="N62" i="196"/>
  <c r="L62" i="196"/>
  <c r="AD76" i="203" l="1"/>
  <c r="AE76" i="203" s="1"/>
  <c r="T76" i="203"/>
  <c r="U76" i="203" s="1"/>
  <c r="AA77" i="203"/>
  <c r="Q77" i="203"/>
  <c r="AG76" i="203"/>
  <c r="AI76" i="203" s="1"/>
  <c r="AF76" i="203"/>
  <c r="AH76" i="203" s="1"/>
  <c r="W76" i="203"/>
  <c r="Y76" i="203" s="1"/>
  <c r="V76" i="203"/>
  <c r="X76" i="203" s="1"/>
  <c r="K63" i="196"/>
  <c r="B80" i="195"/>
  <c r="N63" i="196"/>
  <c r="O63" i="196"/>
  <c r="AC77" i="203"/>
  <c r="L63" i="196"/>
  <c r="R77" i="203"/>
  <c r="M63" i="196"/>
  <c r="AB77" i="203"/>
  <c r="S77" i="203"/>
  <c r="T77" i="203" l="1"/>
  <c r="U77" i="203" s="1"/>
  <c r="W77" i="203" s="1"/>
  <c r="Y77" i="203" s="1"/>
  <c r="AD77" i="203"/>
  <c r="AE77" i="203" s="1"/>
  <c r="Q78" i="203"/>
  <c r="AA78" i="203"/>
  <c r="AF77" i="203"/>
  <c r="AH77" i="203" s="1"/>
  <c r="V77" i="203"/>
  <c r="X77" i="203" s="1"/>
  <c r="K64" i="196"/>
  <c r="B81" i="195"/>
  <c r="R78" i="203"/>
  <c r="S78" i="203"/>
  <c r="M64" i="196"/>
  <c r="O64" i="196"/>
  <c r="AC78" i="203"/>
  <c r="AB78" i="203"/>
  <c r="N64" i="196"/>
  <c r="L64" i="196"/>
  <c r="AD78" i="203" l="1"/>
  <c r="AE78" i="203" s="1"/>
  <c r="T78" i="203"/>
  <c r="U78" i="203" s="1"/>
  <c r="W78" i="203" s="1"/>
  <c r="Y78" i="203" s="1"/>
  <c r="AG77" i="203"/>
  <c r="AI77" i="203" s="1"/>
  <c r="AA79" i="203"/>
  <c r="Q79" i="203"/>
  <c r="AG78" i="203"/>
  <c r="AI78" i="203" s="1"/>
  <c r="AF78" i="203"/>
  <c r="AH78" i="203" s="1"/>
  <c r="K65" i="196"/>
  <c r="B82" i="195"/>
  <c r="O65" i="196"/>
  <c r="AB79" i="203"/>
  <c r="N65" i="196"/>
  <c r="M65" i="196"/>
  <c r="L65" i="196"/>
  <c r="R79" i="203"/>
  <c r="S79" i="203"/>
  <c r="AC79" i="203"/>
  <c r="AD79" i="203" l="1"/>
  <c r="AE79" i="203" s="1"/>
  <c r="T79" i="203"/>
  <c r="U79" i="203" s="1"/>
  <c r="AA80" i="203"/>
  <c r="Q80" i="203"/>
  <c r="V78" i="203"/>
  <c r="X78" i="203" s="1"/>
  <c r="AG79" i="203"/>
  <c r="AI79" i="203" s="1"/>
  <c r="W79" i="203"/>
  <c r="Y79" i="203" s="1"/>
  <c r="AF79" i="203"/>
  <c r="AH79" i="203" s="1"/>
  <c r="K66" i="196"/>
  <c r="B83" i="195"/>
  <c r="R80" i="203"/>
  <c r="AB80" i="203"/>
  <c r="S80" i="203"/>
  <c r="N66" i="196"/>
  <c r="O66" i="196"/>
  <c r="L66" i="196"/>
  <c r="AC80" i="203"/>
  <c r="M66" i="196"/>
  <c r="T80" i="203" l="1"/>
  <c r="U80" i="203" s="1"/>
  <c r="AD80" i="203"/>
  <c r="AE80" i="203" s="1"/>
  <c r="Q81" i="203"/>
  <c r="AA81" i="203"/>
  <c r="V79" i="203"/>
  <c r="X79" i="203" s="1"/>
  <c r="AG80" i="203"/>
  <c r="AI80" i="203" s="1"/>
  <c r="W80" i="203"/>
  <c r="Y80" i="203" s="1"/>
  <c r="AF80" i="203"/>
  <c r="AH80" i="203" s="1"/>
  <c r="V80" i="203"/>
  <c r="X80" i="203" s="1"/>
  <c r="K67" i="196"/>
  <c r="B84" i="195"/>
  <c r="AB81" i="203"/>
  <c r="N67" i="196"/>
  <c r="M67" i="196"/>
  <c r="R81" i="203"/>
  <c r="O67" i="196"/>
  <c r="L67" i="196"/>
  <c r="S81" i="203"/>
  <c r="AC81" i="203"/>
  <c r="AD81" i="203" l="1"/>
  <c r="AE81" i="203" s="1"/>
  <c r="T81" i="203"/>
  <c r="U81" i="203" s="1"/>
  <c r="AA82" i="203"/>
  <c r="Q82" i="203"/>
  <c r="W81" i="203"/>
  <c r="Y81" i="203" s="1"/>
  <c r="AG81" i="203"/>
  <c r="AI81" i="203" s="1"/>
  <c r="AF81" i="203"/>
  <c r="AH81" i="203" s="1"/>
  <c r="V81" i="203"/>
  <c r="X81" i="203" s="1"/>
  <c r="K68" i="196"/>
  <c r="B85" i="195"/>
  <c r="R82" i="203"/>
  <c r="N68" i="196"/>
  <c r="AC82" i="203"/>
  <c r="O68" i="196"/>
  <c r="L68" i="196"/>
  <c r="S82" i="203"/>
  <c r="AB82" i="203"/>
  <c r="M68" i="196"/>
  <c r="T82" i="203" l="1"/>
  <c r="U82" i="203" s="1"/>
  <c r="AD82" i="203"/>
  <c r="AE82" i="203" s="1"/>
  <c r="Q83" i="203"/>
  <c r="AA83" i="203"/>
  <c r="AG82" i="203"/>
  <c r="AI82" i="203" s="1"/>
  <c r="AF82" i="203"/>
  <c r="AH82" i="203" s="1"/>
  <c r="W82" i="203"/>
  <c r="Y82" i="203" s="1"/>
  <c r="V82" i="203"/>
  <c r="X82" i="203" s="1"/>
  <c r="K69" i="196"/>
  <c r="A92" i="195"/>
  <c r="B92" i="195" s="1"/>
  <c r="S83" i="203"/>
  <c r="M69" i="196"/>
  <c r="C92" i="195"/>
  <c r="R83" i="203"/>
  <c r="AC83" i="203"/>
  <c r="G92" i="195"/>
  <c r="AB83" i="203"/>
  <c r="E92" i="195"/>
  <c r="N69" i="196"/>
  <c r="O69" i="196"/>
  <c r="F92" i="195"/>
  <c r="L69" i="196"/>
  <c r="H92" i="195"/>
  <c r="D92" i="195"/>
  <c r="AD83" i="203" l="1"/>
  <c r="AE83" i="203" s="1"/>
  <c r="AG83" i="203" s="1"/>
  <c r="AI83" i="203" s="1"/>
  <c r="T83" i="203"/>
  <c r="U83" i="203" s="1"/>
  <c r="AA84" i="203"/>
  <c r="Q84" i="203"/>
  <c r="W83" i="203"/>
  <c r="Y83" i="203" s="1"/>
  <c r="V83" i="203"/>
  <c r="X83" i="203" s="1"/>
  <c r="K70" i="196"/>
  <c r="A93" i="195"/>
  <c r="B93" i="195" s="1"/>
  <c r="M70" i="196"/>
  <c r="S84" i="203"/>
  <c r="C93" i="195"/>
  <c r="R84" i="203"/>
  <c r="H93" i="195"/>
  <c r="D93" i="195"/>
  <c r="O70" i="196"/>
  <c r="G93" i="195"/>
  <c r="E93" i="195"/>
  <c r="N70" i="196"/>
  <c r="L70" i="196"/>
  <c r="AB84" i="203"/>
  <c r="AC84" i="203"/>
  <c r="F93" i="195"/>
  <c r="T84" i="203" l="1"/>
  <c r="U84" i="203" s="1"/>
  <c r="AD84" i="203"/>
  <c r="AE84" i="203" s="1"/>
  <c r="AF83" i="203"/>
  <c r="AH83" i="203" s="1"/>
  <c r="Q85" i="203"/>
  <c r="AA85" i="203"/>
  <c r="W84" i="203"/>
  <c r="Y84" i="203" s="1"/>
  <c r="V84" i="203"/>
  <c r="X84" i="203" s="1"/>
  <c r="K71" i="196"/>
  <c r="A94" i="195"/>
  <c r="B94" i="195" s="1"/>
  <c r="D94" i="195"/>
  <c r="G94" i="195"/>
  <c r="S85" i="203"/>
  <c r="AC85" i="203"/>
  <c r="N71" i="196"/>
  <c r="E94" i="195"/>
  <c r="R85" i="203"/>
  <c r="F94" i="195"/>
  <c r="O71" i="196"/>
  <c r="M71" i="196"/>
  <c r="AB85" i="203"/>
  <c r="C94" i="195"/>
  <c r="L71" i="196"/>
  <c r="H94" i="195"/>
  <c r="AF84" i="203" l="1"/>
  <c r="AH84" i="203" s="1"/>
  <c r="AG84" i="203"/>
  <c r="AI84" i="203" s="1"/>
  <c r="AD85" i="203"/>
  <c r="AE85" i="203" s="1"/>
  <c r="T85" i="203"/>
  <c r="U85" i="203" s="1"/>
  <c r="AA86" i="203"/>
  <c r="Q86" i="203"/>
  <c r="AG85" i="203"/>
  <c r="AI85" i="203" s="1"/>
  <c r="AF85" i="203"/>
  <c r="AH85" i="203" s="1"/>
  <c r="K72" i="196"/>
  <c r="A95" i="195"/>
  <c r="B95" i="195" s="1"/>
  <c r="AB86" i="203"/>
  <c r="H95" i="195"/>
  <c r="AC86" i="203"/>
  <c r="E95" i="195"/>
  <c r="O72" i="196"/>
  <c r="S86" i="203"/>
  <c r="D95" i="195"/>
  <c r="R86" i="203"/>
  <c r="C95" i="195"/>
  <c r="G95" i="195"/>
  <c r="L72" i="196"/>
  <c r="N72" i="196"/>
  <c r="F95" i="195"/>
  <c r="M72" i="196"/>
  <c r="V85" i="203" l="1"/>
  <c r="X85" i="203" s="1"/>
  <c r="W85" i="203"/>
  <c r="Y85" i="203" s="1"/>
  <c r="T86" i="203"/>
  <c r="U86" i="203" s="1"/>
  <c r="AD86" i="203"/>
  <c r="AE86" i="203" s="1"/>
  <c r="Q87" i="203"/>
  <c r="AA87" i="203"/>
  <c r="AG86" i="203"/>
  <c r="AI86" i="203" s="1"/>
  <c r="AF86" i="203"/>
  <c r="AH86" i="203" s="1"/>
  <c r="K73" i="196"/>
  <c r="A96" i="195"/>
  <c r="B96" i="195" s="1"/>
  <c r="F96" i="195"/>
  <c r="M73" i="196"/>
  <c r="G96" i="195"/>
  <c r="C96" i="195"/>
  <c r="AC87" i="203"/>
  <c r="O73" i="196"/>
  <c r="S87" i="203"/>
  <c r="H96" i="195"/>
  <c r="AB87" i="203"/>
  <c r="N73" i="196"/>
  <c r="D96" i="195"/>
  <c r="R87" i="203"/>
  <c r="L73" i="196"/>
  <c r="E96" i="195"/>
  <c r="V86" i="203" l="1"/>
  <c r="X86" i="203" s="1"/>
  <c r="W86" i="203"/>
  <c r="Y86" i="203" s="1"/>
  <c r="AD87" i="203"/>
  <c r="AE87" i="203" s="1"/>
  <c r="T87" i="203"/>
  <c r="U87" i="203" s="1"/>
  <c r="AA88" i="203"/>
  <c r="Q88" i="203"/>
  <c r="AG87" i="203"/>
  <c r="AI87" i="203" s="1"/>
  <c r="W87" i="203"/>
  <c r="Y87" i="203" s="1"/>
  <c r="AF87" i="203"/>
  <c r="AH87" i="203" s="1"/>
  <c r="K74" i="196"/>
  <c r="A97" i="195"/>
  <c r="B97" i="195" s="1"/>
  <c r="AB88" i="203"/>
  <c r="E97" i="195"/>
  <c r="L74" i="196"/>
  <c r="M74" i="196"/>
  <c r="AC88" i="203"/>
  <c r="O74" i="196"/>
  <c r="G97" i="195"/>
  <c r="H97" i="195"/>
  <c r="F97" i="195"/>
  <c r="C97" i="195"/>
  <c r="S88" i="203"/>
  <c r="D97" i="195"/>
  <c r="R88" i="203"/>
  <c r="N74" i="196"/>
  <c r="V87" i="203" l="1"/>
  <c r="X87" i="203" s="1"/>
  <c r="T88" i="203"/>
  <c r="U88" i="203" s="1"/>
  <c r="AD88" i="203"/>
  <c r="AE88" i="203" s="1"/>
  <c r="Q89" i="203"/>
  <c r="AA89" i="203"/>
  <c r="AG88" i="203"/>
  <c r="AI88" i="203" s="1"/>
  <c r="W88" i="203"/>
  <c r="Y88" i="203" s="1"/>
  <c r="V88" i="203"/>
  <c r="X88" i="203" s="1"/>
  <c r="K75" i="196"/>
  <c r="A98" i="195"/>
  <c r="B98" i="195" s="1"/>
  <c r="H98" i="195"/>
  <c r="G98" i="195"/>
  <c r="AC89" i="203"/>
  <c r="E98" i="195"/>
  <c r="D98" i="195"/>
  <c r="F98" i="195"/>
  <c r="N75" i="196"/>
  <c r="C98" i="195"/>
  <c r="L75" i="196"/>
  <c r="AB89" i="203"/>
  <c r="O75" i="196"/>
  <c r="M75" i="196"/>
  <c r="R89" i="203"/>
  <c r="S89" i="203"/>
  <c r="AD89" i="203" l="1"/>
  <c r="AE89" i="203" s="1"/>
  <c r="T89" i="203"/>
  <c r="U89" i="203" s="1"/>
  <c r="AF88" i="203"/>
  <c r="AH88" i="203" s="1"/>
  <c r="AA90" i="203"/>
  <c r="Q90" i="203"/>
  <c r="AG89" i="203"/>
  <c r="AI89" i="203" s="1"/>
  <c r="AF89" i="203"/>
  <c r="AH89" i="203" s="1"/>
  <c r="K76" i="196"/>
  <c r="A99" i="195"/>
  <c r="B99" i="195" s="1"/>
  <c r="R90" i="203"/>
  <c r="N76" i="196"/>
  <c r="M76" i="196"/>
  <c r="F99" i="195"/>
  <c r="O76" i="196"/>
  <c r="E99" i="195"/>
  <c r="AB90" i="203"/>
  <c r="C99" i="195"/>
  <c r="G99" i="195"/>
  <c r="L76" i="196"/>
  <c r="D99" i="195"/>
  <c r="H99" i="195"/>
  <c r="AC90" i="203"/>
  <c r="S90" i="203"/>
  <c r="T90" i="203" l="1"/>
  <c r="U90" i="203" s="1"/>
  <c r="AD90" i="203"/>
  <c r="AE90" i="203" s="1"/>
  <c r="W89" i="203"/>
  <c r="Y89" i="203" s="1"/>
  <c r="Q91" i="203"/>
  <c r="AA91" i="203"/>
  <c r="V89" i="203"/>
  <c r="X89" i="203" s="1"/>
  <c r="W90" i="203"/>
  <c r="Y90" i="203" s="1"/>
  <c r="AG90" i="203"/>
  <c r="AI90" i="203" s="1"/>
  <c r="V90" i="203"/>
  <c r="X90" i="203" s="1"/>
  <c r="K77" i="196"/>
  <c r="A100" i="195"/>
  <c r="B100" i="195" s="1"/>
  <c r="S91" i="203"/>
  <c r="D100" i="195"/>
  <c r="C100" i="195"/>
  <c r="M77" i="196"/>
  <c r="R91" i="203"/>
  <c r="AC91" i="203"/>
  <c r="L77" i="196"/>
  <c r="F100" i="195"/>
  <c r="G100" i="195"/>
  <c r="H100" i="195"/>
  <c r="E100" i="195"/>
  <c r="N77" i="196"/>
  <c r="AB91" i="203"/>
  <c r="O77" i="196"/>
  <c r="AD91" i="203" l="1"/>
  <c r="AE91" i="203" s="1"/>
  <c r="T91" i="203"/>
  <c r="U91" i="203" s="1"/>
  <c r="AA92" i="203"/>
  <c r="Q92" i="203"/>
  <c r="AF90" i="203"/>
  <c r="AH90" i="203" s="1"/>
  <c r="AG91" i="203"/>
  <c r="AI91" i="203" s="1"/>
  <c r="AF91" i="203"/>
  <c r="AH91" i="203" s="1"/>
  <c r="W91" i="203"/>
  <c r="Y91" i="203" s="1"/>
  <c r="K78" i="196"/>
  <c r="A101" i="195"/>
  <c r="B101" i="195" s="1"/>
  <c r="O78" i="196"/>
  <c r="F101" i="195"/>
  <c r="L78" i="196"/>
  <c r="S92" i="203"/>
  <c r="R92" i="203"/>
  <c r="G101" i="195"/>
  <c r="M78" i="196"/>
  <c r="N78" i="196"/>
  <c r="C101" i="195"/>
  <c r="H101" i="195"/>
  <c r="AC92" i="203"/>
  <c r="D101" i="195"/>
  <c r="E101" i="195"/>
  <c r="AB92" i="203"/>
  <c r="T92" i="203" l="1"/>
  <c r="U92" i="203" s="1"/>
  <c r="AD92" i="203"/>
  <c r="AE92" i="203" s="1"/>
  <c r="Q93" i="203"/>
  <c r="AA93" i="203"/>
  <c r="V91" i="203"/>
  <c r="X91" i="203" s="1"/>
  <c r="AG92" i="203"/>
  <c r="AI92" i="203" s="1"/>
  <c r="W92" i="203"/>
  <c r="Y92" i="203" s="1"/>
  <c r="AF92" i="203"/>
  <c r="AH92" i="203" s="1"/>
  <c r="V92" i="203"/>
  <c r="X92" i="203" s="1"/>
  <c r="K79" i="196"/>
  <c r="A102" i="195"/>
  <c r="B102" i="195" s="1"/>
  <c r="F102" i="195"/>
  <c r="H102" i="195"/>
  <c r="R93" i="203"/>
  <c r="S93" i="203"/>
  <c r="O79" i="196"/>
  <c r="M79" i="196"/>
  <c r="G102" i="195"/>
  <c r="AB93" i="203"/>
  <c r="N79" i="196"/>
  <c r="AC93" i="203"/>
  <c r="E102" i="195"/>
  <c r="D102" i="195"/>
  <c r="L79" i="196"/>
  <c r="C102" i="195"/>
  <c r="AD93" i="203" l="1"/>
  <c r="AE93" i="203" s="1"/>
  <c r="T93" i="203"/>
  <c r="U93" i="203" s="1"/>
  <c r="AA94" i="203"/>
  <c r="Q94" i="203"/>
  <c r="AG93" i="203"/>
  <c r="AI93" i="203" s="1"/>
  <c r="W93" i="203"/>
  <c r="Y93" i="203" s="1"/>
  <c r="AF93" i="203"/>
  <c r="AH93" i="203" s="1"/>
  <c r="V93" i="203"/>
  <c r="X93" i="203" s="1"/>
  <c r="K80" i="196"/>
  <c r="A103" i="195"/>
  <c r="B103" i="195" s="1"/>
  <c r="L80" i="196"/>
  <c r="AB94" i="203"/>
  <c r="H103" i="195"/>
  <c r="AC94" i="203"/>
  <c r="O80" i="196"/>
  <c r="G103" i="195"/>
  <c r="R94" i="203"/>
  <c r="D103" i="195"/>
  <c r="S94" i="203"/>
  <c r="E103" i="195"/>
  <c r="M80" i="196"/>
  <c r="F103" i="195"/>
  <c r="N80" i="196"/>
  <c r="C103" i="195"/>
  <c r="T94" i="203" l="1"/>
  <c r="U94" i="203" s="1"/>
  <c r="AD94" i="203"/>
  <c r="AE94" i="203" s="1"/>
  <c r="Q95" i="203"/>
  <c r="AA95" i="203"/>
  <c r="AF94" i="203"/>
  <c r="AH94" i="203" s="1"/>
  <c r="W94" i="203"/>
  <c r="Y94" i="203" s="1"/>
  <c r="V94" i="203"/>
  <c r="X94" i="203" s="1"/>
  <c r="K81" i="196"/>
  <c r="A104" i="195"/>
  <c r="B104" i="195" s="1"/>
  <c r="R95" i="203"/>
  <c r="AB95" i="203"/>
  <c r="S95" i="203"/>
  <c r="O81" i="196"/>
  <c r="AC95" i="203"/>
  <c r="C104" i="195"/>
  <c r="D104" i="195"/>
  <c r="G104" i="195"/>
  <c r="N81" i="196"/>
  <c r="M81" i="196"/>
  <c r="H104" i="195"/>
  <c r="L81" i="196"/>
  <c r="F104" i="195"/>
  <c r="E104" i="195"/>
  <c r="AG94" i="203" l="1"/>
  <c r="AI94" i="203" s="1"/>
  <c r="AD95" i="203"/>
  <c r="AE95" i="203" s="1"/>
  <c r="T95" i="203"/>
  <c r="U95" i="203" s="1"/>
  <c r="AA96" i="203"/>
  <c r="Q96" i="203"/>
  <c r="AG95" i="203"/>
  <c r="AI95" i="203" s="1"/>
  <c r="AF95" i="203"/>
  <c r="AH95" i="203" s="1"/>
  <c r="W95" i="203"/>
  <c r="Y95" i="203" s="1"/>
  <c r="V95" i="203"/>
  <c r="X95" i="203" s="1"/>
  <c r="K82" i="196"/>
  <c r="A105" i="195"/>
  <c r="B105" i="195" s="1"/>
  <c r="AC96" i="203"/>
  <c r="H105" i="195"/>
  <c r="C105" i="195"/>
  <c r="O82" i="196"/>
  <c r="G105" i="195"/>
  <c r="AB96" i="203"/>
  <c r="S96" i="203"/>
  <c r="L82" i="196"/>
  <c r="M82" i="196"/>
  <c r="R96" i="203"/>
  <c r="E105" i="195"/>
  <c r="F105" i="195"/>
  <c r="N82" i="196"/>
  <c r="D105" i="195"/>
  <c r="T96" i="203" l="1"/>
  <c r="U96" i="203" s="1"/>
  <c r="AD96" i="203"/>
  <c r="AE96" i="203" s="1"/>
  <c r="Q97" i="203"/>
  <c r="AA97" i="203"/>
  <c r="AG96" i="203"/>
  <c r="AI96" i="203" s="1"/>
  <c r="AF96" i="203"/>
  <c r="AH96" i="203" s="1"/>
  <c r="W96" i="203"/>
  <c r="Y96" i="203" s="1"/>
  <c r="V96" i="203"/>
  <c r="X96" i="203" s="1"/>
  <c r="K83" i="196"/>
  <c r="A106" i="195"/>
  <c r="B106" i="195" s="1"/>
  <c r="O83" i="196"/>
  <c r="R97" i="203"/>
  <c r="N83" i="196"/>
  <c r="AB97" i="203"/>
  <c r="L83" i="196"/>
  <c r="M83" i="196"/>
  <c r="S97" i="203"/>
  <c r="C106" i="195"/>
  <c r="F106" i="195"/>
  <c r="H106" i="195"/>
  <c r="AC97" i="203"/>
  <c r="D106" i="195"/>
  <c r="E106" i="195"/>
  <c r="G106" i="195"/>
  <c r="AD97" i="203" l="1"/>
  <c r="AE97" i="203" s="1"/>
  <c r="T97" i="203"/>
  <c r="U97" i="203" s="1"/>
  <c r="AA98" i="203"/>
  <c r="Q98" i="203"/>
  <c r="AG97" i="203"/>
  <c r="AI97" i="203" s="1"/>
  <c r="AF97" i="203"/>
  <c r="AH97" i="203" s="1"/>
  <c r="W97" i="203"/>
  <c r="Y97" i="203" s="1"/>
  <c r="V97" i="203"/>
  <c r="X97" i="203" s="1"/>
  <c r="K84" i="196"/>
  <c r="A107" i="195"/>
  <c r="B107" i="195" s="1"/>
  <c r="L84" i="196"/>
  <c r="C107" i="195"/>
  <c r="O84" i="196"/>
  <c r="AB98" i="203"/>
  <c r="N84" i="196"/>
  <c r="M84" i="196"/>
  <c r="AC98" i="203"/>
  <c r="S98" i="203"/>
  <c r="D107" i="195"/>
  <c r="R98" i="203"/>
  <c r="E107" i="195"/>
  <c r="G107" i="195"/>
  <c r="H107" i="195"/>
  <c r="F107" i="195"/>
  <c r="T98" i="203" l="1"/>
  <c r="U98" i="203" s="1"/>
  <c r="AD98" i="203"/>
  <c r="AE98" i="203" s="1"/>
  <c r="Q99" i="203"/>
  <c r="AA99" i="203"/>
  <c r="AG98" i="203"/>
  <c r="AI98" i="203" s="1"/>
  <c r="AF98" i="203"/>
  <c r="AH98" i="203" s="1"/>
  <c r="W98" i="203"/>
  <c r="Y98" i="203" s="1"/>
  <c r="V98" i="203"/>
  <c r="X98" i="203" s="1"/>
  <c r="K85" i="196"/>
  <c r="A108" i="195"/>
  <c r="B108" i="195" s="1"/>
  <c r="R99" i="203"/>
  <c r="D108" i="195"/>
  <c r="AB99" i="203"/>
  <c r="C108" i="195"/>
  <c r="H108" i="195"/>
  <c r="S99" i="203"/>
  <c r="M85" i="196"/>
  <c r="E108" i="195"/>
  <c r="G108" i="195"/>
  <c r="O85" i="196"/>
  <c r="F108" i="195"/>
  <c r="L85" i="196"/>
  <c r="N85" i="196"/>
  <c r="AC99" i="203"/>
  <c r="AD99" i="203" l="1"/>
  <c r="AE99" i="203" s="1"/>
  <c r="T99" i="203"/>
  <c r="U99" i="203" s="1"/>
  <c r="AA100" i="203"/>
  <c r="Q100" i="203"/>
  <c r="AG99" i="203"/>
  <c r="AI99" i="203" s="1"/>
  <c r="AF99" i="203"/>
  <c r="AH99" i="203" s="1"/>
  <c r="W99" i="203"/>
  <c r="Y99" i="203" s="1"/>
  <c r="V99" i="203"/>
  <c r="X99" i="203" s="1"/>
  <c r="K86" i="196"/>
  <c r="A109" i="195"/>
  <c r="B109" i="195" s="1"/>
  <c r="F109" i="195"/>
  <c r="AB100" i="203"/>
  <c r="D109" i="195"/>
  <c r="G109" i="195"/>
  <c r="R100" i="203"/>
  <c r="AC100" i="203"/>
  <c r="L86" i="196"/>
  <c r="O86" i="196"/>
  <c r="M86" i="196"/>
  <c r="C109" i="195"/>
  <c r="H109" i="195"/>
  <c r="N86" i="196"/>
  <c r="S100" i="203"/>
  <c r="E109" i="195"/>
  <c r="T100" i="203" l="1"/>
  <c r="U100" i="203" s="1"/>
  <c r="AD100" i="203"/>
  <c r="AE100" i="203" s="1"/>
  <c r="Q101" i="203"/>
  <c r="AA101" i="203"/>
  <c r="AG100" i="203"/>
  <c r="AI100" i="203" s="1"/>
  <c r="AF100" i="203"/>
  <c r="AH100" i="203" s="1"/>
  <c r="W100" i="203"/>
  <c r="Y100" i="203" s="1"/>
  <c r="V100" i="203"/>
  <c r="X100" i="203" s="1"/>
  <c r="K87" i="196"/>
  <c r="A110" i="195"/>
  <c r="B110" i="195" s="1"/>
  <c r="G110" i="195"/>
  <c r="E110" i="195"/>
  <c r="F110" i="195"/>
  <c r="AB101" i="203"/>
  <c r="H110" i="195"/>
  <c r="R101" i="203"/>
  <c r="S101" i="203"/>
  <c r="O87" i="196"/>
  <c r="L87" i="196"/>
  <c r="AC101" i="203"/>
  <c r="C110" i="195"/>
  <c r="M87" i="196"/>
  <c r="D110" i="195"/>
  <c r="N87" i="196"/>
  <c r="AD101" i="203" l="1"/>
  <c r="AE101" i="203" s="1"/>
  <c r="T101" i="203"/>
  <c r="U101" i="203" s="1"/>
  <c r="AA102" i="203"/>
  <c r="Q102" i="203"/>
  <c r="AG101" i="203"/>
  <c r="AI101" i="203" s="1"/>
  <c r="W101" i="203"/>
  <c r="Y101" i="203" s="1"/>
  <c r="AF101" i="203"/>
  <c r="AH101" i="203" s="1"/>
  <c r="V101" i="203"/>
  <c r="X101" i="203" s="1"/>
  <c r="K88" i="196"/>
  <c r="A111" i="195"/>
  <c r="B111" i="195" s="1"/>
  <c r="M88" i="196"/>
  <c r="AB102" i="203"/>
  <c r="F111" i="195"/>
  <c r="O88" i="196"/>
  <c r="AC102" i="203"/>
  <c r="D111" i="195"/>
  <c r="R102" i="203"/>
  <c r="G111" i="195"/>
  <c r="C111" i="195"/>
  <c r="L88" i="196"/>
  <c r="E111" i="195"/>
  <c r="H111" i="195"/>
  <c r="S102" i="203"/>
  <c r="N88" i="196"/>
  <c r="T102" i="203" l="1"/>
  <c r="U102" i="203" s="1"/>
  <c r="AD102" i="203"/>
  <c r="AE102" i="203" s="1"/>
  <c r="Q103" i="203"/>
  <c r="AA103" i="203"/>
  <c r="AG102" i="203"/>
  <c r="AI102" i="203" s="1"/>
  <c r="AF102" i="203"/>
  <c r="AH102" i="203" s="1"/>
  <c r="W102" i="203"/>
  <c r="Y102" i="203" s="1"/>
  <c r="V102" i="203"/>
  <c r="X102" i="203" s="1"/>
  <c r="K89" i="196"/>
  <c r="A112" i="195"/>
  <c r="B112" i="195" s="1"/>
  <c r="R103" i="203"/>
  <c r="C112" i="195"/>
  <c r="AB103" i="203"/>
  <c r="N89" i="196"/>
  <c r="H112" i="195"/>
  <c r="G112" i="195"/>
  <c r="O89" i="196"/>
  <c r="F112" i="195"/>
  <c r="D112" i="195"/>
  <c r="E112" i="195"/>
  <c r="AC103" i="203"/>
  <c r="L89" i="196"/>
  <c r="M89" i="196"/>
  <c r="S103" i="203"/>
  <c r="AD103" i="203" l="1"/>
  <c r="AE103" i="203" s="1"/>
  <c r="T103" i="203"/>
  <c r="U103" i="203" s="1"/>
  <c r="AA104" i="203"/>
  <c r="Q104" i="203"/>
  <c r="AG103" i="203"/>
  <c r="AI103" i="203" s="1"/>
  <c r="AF103" i="203"/>
  <c r="AH103" i="203" s="1"/>
  <c r="W103" i="203"/>
  <c r="Y103" i="203" s="1"/>
  <c r="V103" i="203"/>
  <c r="X103" i="203" s="1"/>
  <c r="K90" i="196"/>
  <c r="A113" i="195"/>
  <c r="B113" i="195" s="1"/>
  <c r="F113" i="195"/>
  <c r="O90" i="196"/>
  <c r="L90" i="196"/>
  <c r="E113" i="195"/>
  <c r="G113" i="195"/>
  <c r="AB104" i="203"/>
  <c r="AC104" i="203"/>
  <c r="H113" i="195"/>
  <c r="C113" i="195"/>
  <c r="M90" i="196"/>
  <c r="D113" i="195"/>
  <c r="R104" i="203"/>
  <c r="S104" i="203"/>
  <c r="N90" i="196"/>
  <c r="T104" i="203" l="1"/>
  <c r="U104" i="203" s="1"/>
  <c r="W104" i="203" s="1"/>
  <c r="Y104" i="203" s="1"/>
  <c r="AD104" i="203"/>
  <c r="AE104" i="203" s="1"/>
  <c r="Q105" i="203"/>
  <c r="AA105" i="203"/>
  <c r="AG104" i="203"/>
  <c r="AI104" i="203" s="1"/>
  <c r="AF104" i="203"/>
  <c r="AH104" i="203" s="1"/>
  <c r="V104" i="203"/>
  <c r="X104" i="203" s="1"/>
  <c r="K91" i="196"/>
  <c r="A114" i="195"/>
  <c r="B114" i="195" s="1"/>
  <c r="AC105" i="203"/>
  <c r="O91" i="196"/>
  <c r="AB105" i="203"/>
  <c r="F114" i="195"/>
  <c r="C114" i="195"/>
  <c r="R105" i="203"/>
  <c r="H114" i="195"/>
  <c r="G114" i="195"/>
  <c r="D114" i="195"/>
  <c r="L91" i="196"/>
  <c r="M91" i="196"/>
  <c r="N91" i="196"/>
  <c r="S105" i="203"/>
  <c r="E114" i="195"/>
  <c r="AD105" i="203" l="1"/>
  <c r="AE105" i="203" s="1"/>
  <c r="T105" i="203"/>
  <c r="U105" i="203" s="1"/>
  <c r="AA106" i="203"/>
  <c r="Q106" i="203"/>
  <c r="AG105" i="203"/>
  <c r="AI105" i="203" s="1"/>
  <c r="W105" i="203"/>
  <c r="Y105" i="203" s="1"/>
  <c r="AF105" i="203"/>
  <c r="AH105" i="203" s="1"/>
  <c r="V105" i="203"/>
  <c r="X105" i="203" s="1"/>
  <c r="K92" i="196"/>
  <c r="A115" i="195"/>
  <c r="B115" i="195" s="1"/>
  <c r="L92" i="196"/>
  <c r="E115" i="195"/>
  <c r="D115" i="195"/>
  <c r="O92" i="196"/>
  <c r="C115" i="195"/>
  <c r="M92" i="196"/>
  <c r="AB106" i="203"/>
  <c r="S106" i="203"/>
  <c r="N92" i="196"/>
  <c r="F115" i="195"/>
  <c r="H115" i="195"/>
  <c r="R106" i="203"/>
  <c r="AC106" i="203"/>
  <c r="G115" i="195"/>
  <c r="AD106" i="203" l="1"/>
  <c r="AE106" i="203" s="1"/>
  <c r="T106" i="203"/>
  <c r="U106" i="203" s="1"/>
  <c r="AA107" i="203"/>
  <c r="Q107" i="203"/>
  <c r="AG106" i="203"/>
  <c r="AI106" i="203" s="1"/>
  <c r="K93" i="196"/>
  <c r="A116" i="195"/>
  <c r="B116" i="195" s="1"/>
  <c r="AC107" i="203"/>
  <c r="L93" i="196"/>
  <c r="AB107" i="203"/>
  <c r="O93" i="196"/>
  <c r="D116" i="195"/>
  <c r="E116" i="195"/>
  <c r="H116" i="195"/>
  <c r="C116" i="195"/>
  <c r="F116" i="195"/>
  <c r="S107" i="203"/>
  <c r="M93" i="196"/>
  <c r="R107" i="203"/>
  <c r="N93" i="196"/>
  <c r="G116" i="195"/>
  <c r="T107" i="203" l="1"/>
  <c r="U107" i="203" s="1"/>
  <c r="AD107" i="203"/>
  <c r="AE107" i="203" s="1"/>
  <c r="AF106" i="203"/>
  <c r="AH106" i="203" s="1"/>
  <c r="Q108" i="203"/>
  <c r="V106" i="203"/>
  <c r="X106" i="203" s="1"/>
  <c r="W106" i="203"/>
  <c r="Y106" i="203" s="1"/>
  <c r="AA108" i="203"/>
  <c r="AG107" i="203"/>
  <c r="AI107" i="203" s="1"/>
  <c r="W107" i="203"/>
  <c r="Y107" i="203" s="1"/>
  <c r="V107" i="203"/>
  <c r="X107" i="203" s="1"/>
  <c r="K94" i="196"/>
  <c r="A117" i="195"/>
  <c r="B117" i="195" s="1"/>
  <c r="G117" i="195"/>
  <c r="N94" i="196"/>
  <c r="E117" i="195"/>
  <c r="O94" i="196"/>
  <c r="L94" i="196"/>
  <c r="F117" i="195"/>
  <c r="AC108" i="203"/>
  <c r="D117" i="195"/>
  <c r="M94" i="196"/>
  <c r="R108" i="203"/>
  <c r="C117" i="195"/>
  <c r="H117" i="195"/>
  <c r="S108" i="203"/>
  <c r="AB108" i="203"/>
  <c r="AD108" i="203" l="1"/>
  <c r="AE108" i="203" s="1"/>
  <c r="AG108" i="203" s="1"/>
  <c r="AI108" i="203" s="1"/>
  <c r="T108" i="203"/>
  <c r="U108" i="203" s="1"/>
  <c r="AA109" i="203"/>
  <c r="Q109" i="203"/>
  <c r="AF107" i="203"/>
  <c r="AH107" i="203" s="1"/>
  <c r="AF108" i="203"/>
  <c r="AH108" i="203" s="1"/>
  <c r="W108" i="203"/>
  <c r="Y108" i="203" s="1"/>
  <c r="V108" i="203"/>
  <c r="X108" i="203" s="1"/>
  <c r="K95" i="196"/>
  <c r="A118" i="195"/>
  <c r="B118" i="195" s="1"/>
  <c r="N95" i="196"/>
  <c r="R109" i="203"/>
  <c r="H118" i="195"/>
  <c r="D118" i="195"/>
  <c r="E118" i="195"/>
  <c r="G118" i="195"/>
  <c r="M95" i="196"/>
  <c r="O95" i="196"/>
  <c r="AB109" i="203"/>
  <c r="C118" i="195"/>
  <c r="F118" i="195"/>
  <c r="AC109" i="203"/>
  <c r="S109" i="203"/>
  <c r="L95" i="196"/>
  <c r="T109" i="203" l="1"/>
  <c r="U109" i="203" s="1"/>
  <c r="AD109" i="203"/>
  <c r="AE109" i="203" s="1"/>
  <c r="Q110" i="203"/>
  <c r="AA110" i="203"/>
  <c r="AG109" i="203"/>
  <c r="AI109" i="203" s="1"/>
  <c r="W109" i="203"/>
  <c r="Y109" i="203" s="1"/>
  <c r="AF109" i="203"/>
  <c r="AH109" i="203" s="1"/>
  <c r="V109" i="203"/>
  <c r="X109" i="203" s="1"/>
  <c r="K96" i="196"/>
  <c r="A119" i="195"/>
  <c r="B119" i="195" s="1"/>
  <c r="H119" i="195"/>
  <c r="AC110" i="203"/>
  <c r="M96" i="196"/>
  <c r="G119" i="195"/>
  <c r="N96" i="196"/>
  <c r="O96" i="196"/>
  <c r="S110" i="203"/>
  <c r="AB110" i="203"/>
  <c r="E119" i="195"/>
  <c r="F119" i="195"/>
  <c r="R110" i="203"/>
  <c r="C119" i="195"/>
  <c r="D119" i="195"/>
  <c r="L96" i="196"/>
  <c r="AD110" i="203" l="1"/>
  <c r="AE110" i="203" s="1"/>
  <c r="T110" i="203"/>
  <c r="U110" i="203" s="1"/>
  <c r="AA111" i="203"/>
  <c r="Q111" i="203"/>
  <c r="W110" i="203"/>
  <c r="Y110" i="203" s="1"/>
  <c r="AG110" i="203"/>
  <c r="AI110" i="203" s="1"/>
  <c r="AF110" i="203"/>
  <c r="AH110" i="203" s="1"/>
  <c r="V110" i="203"/>
  <c r="X110" i="203" s="1"/>
  <c r="K97" i="196"/>
  <c r="A120" i="195"/>
  <c r="B120" i="195" s="1"/>
  <c r="N97" i="196"/>
  <c r="S111" i="203"/>
  <c r="H120" i="195"/>
  <c r="D120" i="195"/>
  <c r="O97" i="196"/>
  <c r="G120" i="195"/>
  <c r="M97" i="196"/>
  <c r="AC111" i="203"/>
  <c r="F120" i="195"/>
  <c r="L97" i="196"/>
  <c r="E120" i="195"/>
  <c r="AB111" i="203"/>
  <c r="R111" i="203"/>
  <c r="C120" i="195"/>
  <c r="T111" i="203" l="1"/>
  <c r="U111" i="203" s="1"/>
  <c r="AD111" i="203"/>
  <c r="AE111" i="203" s="1"/>
  <c r="Q112" i="203"/>
  <c r="AA112" i="203"/>
  <c r="AG111" i="203"/>
  <c r="AI111" i="203" s="1"/>
  <c r="AF111" i="203"/>
  <c r="AH111" i="203" s="1"/>
  <c r="W111" i="203"/>
  <c r="Y111" i="203" s="1"/>
  <c r="V111" i="203"/>
  <c r="X111" i="203" s="1"/>
  <c r="K98" i="196"/>
  <c r="A121" i="195"/>
  <c r="B121" i="195" s="1"/>
  <c r="C121" i="195"/>
  <c r="AB112" i="203"/>
  <c r="R112" i="203"/>
  <c r="E121" i="195"/>
  <c r="N98" i="196"/>
  <c r="S112" i="203"/>
  <c r="G121" i="195"/>
  <c r="AC112" i="203"/>
  <c r="F121" i="195"/>
  <c r="H121" i="195"/>
  <c r="D121" i="195"/>
  <c r="L98" i="196"/>
  <c r="M98" i="196"/>
  <c r="O98" i="196"/>
  <c r="AD112" i="203" l="1"/>
  <c r="AE112" i="203" s="1"/>
  <c r="T112" i="203"/>
  <c r="U112" i="203" s="1"/>
  <c r="AA113" i="203"/>
  <c r="Q113" i="203"/>
  <c r="AG112" i="203"/>
  <c r="AI112" i="203" s="1"/>
  <c r="AF112" i="203"/>
  <c r="AH112" i="203" s="1"/>
  <c r="W112" i="203"/>
  <c r="Y112" i="203" s="1"/>
  <c r="V112" i="203"/>
  <c r="X112" i="203" s="1"/>
  <c r="K99" i="196"/>
  <c r="A122" i="195"/>
  <c r="B122" i="195" s="1"/>
  <c r="AB113" i="203"/>
  <c r="F122" i="195"/>
  <c r="M99" i="196"/>
  <c r="AC113" i="203"/>
  <c r="H122" i="195"/>
  <c r="L99" i="196"/>
  <c r="E122" i="195"/>
  <c r="R113" i="203"/>
  <c r="D122" i="195"/>
  <c r="G122" i="195"/>
  <c r="S113" i="203"/>
  <c r="C122" i="195"/>
  <c r="O99" i="196"/>
  <c r="N99" i="196"/>
  <c r="T113" i="203" l="1"/>
  <c r="U113" i="203" s="1"/>
  <c r="AD113" i="203"/>
  <c r="AE113" i="203" s="1"/>
  <c r="Q114" i="203"/>
  <c r="AA114" i="203"/>
  <c r="W113" i="203"/>
  <c r="Y113" i="203" s="1"/>
  <c r="AG113" i="203"/>
  <c r="AI113" i="203" s="1"/>
  <c r="AF113" i="203"/>
  <c r="AH113" i="203" s="1"/>
  <c r="V113" i="203"/>
  <c r="X113" i="203" s="1"/>
  <c r="K100" i="196"/>
  <c r="A123" i="195"/>
  <c r="B123" i="195" s="1"/>
  <c r="R114" i="203"/>
  <c r="AC114" i="203"/>
  <c r="S114" i="203"/>
  <c r="C123" i="195"/>
  <c r="H123" i="195"/>
  <c r="O100" i="196"/>
  <c r="L100" i="196"/>
  <c r="AB114" i="203"/>
  <c r="F123" i="195"/>
  <c r="G123" i="195"/>
  <c r="D123" i="195"/>
  <c r="M100" i="196"/>
  <c r="N100" i="196"/>
  <c r="E123" i="195"/>
  <c r="AD114" i="203" l="1"/>
  <c r="AE114" i="203" s="1"/>
  <c r="T114" i="203"/>
  <c r="U114" i="203" s="1"/>
  <c r="AA115" i="203"/>
  <c r="Q115" i="203"/>
  <c r="AG114" i="203"/>
  <c r="AI114" i="203" s="1"/>
  <c r="AF114" i="203"/>
  <c r="AH114" i="203" s="1"/>
  <c r="W114" i="203"/>
  <c r="Y114" i="203" s="1"/>
  <c r="V114" i="203"/>
  <c r="X114" i="203" s="1"/>
  <c r="K101" i="196"/>
  <c r="A124" i="195"/>
  <c r="B124" i="195" s="1"/>
  <c r="AB115" i="203"/>
  <c r="F124" i="195"/>
  <c r="R115" i="203"/>
  <c r="S115" i="203"/>
  <c r="C124" i="195"/>
  <c r="AC115" i="203"/>
  <c r="M101" i="196"/>
  <c r="H124" i="195"/>
  <c r="O101" i="196"/>
  <c r="D124" i="195"/>
  <c r="G124" i="195"/>
  <c r="L101" i="196"/>
  <c r="N101" i="196"/>
  <c r="E124" i="195"/>
  <c r="T115" i="203" l="1"/>
  <c r="U115" i="203" s="1"/>
  <c r="AD115" i="203"/>
  <c r="AE115" i="203" s="1"/>
  <c r="Q116" i="203"/>
  <c r="AA116" i="203"/>
  <c r="AG115" i="203"/>
  <c r="AI115" i="203" s="1"/>
  <c r="AF115" i="203"/>
  <c r="AH115" i="203" s="1"/>
  <c r="W115" i="203"/>
  <c r="Y115" i="203" s="1"/>
  <c r="V115" i="203"/>
  <c r="X115" i="203" s="1"/>
  <c r="K102" i="196"/>
  <c r="A125" i="195"/>
  <c r="B125" i="195" s="1"/>
  <c r="S116" i="203"/>
  <c r="AB116" i="203"/>
  <c r="C125" i="195"/>
  <c r="R116" i="203"/>
  <c r="F125" i="195"/>
  <c r="D125" i="195"/>
  <c r="G125" i="195"/>
  <c r="N102" i="196"/>
  <c r="AC116" i="203"/>
  <c r="M102" i="196"/>
  <c r="L102" i="196"/>
  <c r="E125" i="195"/>
  <c r="O102" i="196"/>
  <c r="H125" i="195"/>
  <c r="AD116" i="203" l="1"/>
  <c r="AE116" i="203" s="1"/>
  <c r="T116" i="203"/>
  <c r="U116" i="203" s="1"/>
  <c r="AA117" i="203"/>
  <c r="Q117" i="203"/>
  <c r="AG116" i="203"/>
  <c r="AI116" i="203" s="1"/>
  <c r="AF116" i="203"/>
  <c r="AH116" i="203" s="1"/>
  <c r="W116" i="203"/>
  <c r="Y116" i="203" s="1"/>
  <c r="V116" i="203"/>
  <c r="X116" i="203" s="1"/>
  <c r="K103" i="196"/>
  <c r="A126" i="195"/>
  <c r="B126" i="195" s="1"/>
  <c r="L103" i="196"/>
  <c r="G126" i="195"/>
  <c r="O103" i="196"/>
  <c r="AB117" i="203"/>
  <c r="N103" i="196"/>
  <c r="M103" i="196"/>
  <c r="C126" i="195"/>
  <c r="E126" i="195"/>
  <c r="R117" i="203"/>
  <c r="S117" i="203"/>
  <c r="F126" i="195"/>
  <c r="H126" i="195"/>
  <c r="D126" i="195"/>
  <c r="AC117" i="203"/>
  <c r="T117" i="203" l="1"/>
  <c r="U117" i="203" s="1"/>
  <c r="AD117" i="203"/>
  <c r="AE117" i="203" s="1"/>
  <c r="Q118" i="203"/>
  <c r="AA118" i="203"/>
  <c r="AG117" i="203"/>
  <c r="AI117" i="203" s="1"/>
  <c r="AF117" i="203"/>
  <c r="AH117" i="203" s="1"/>
  <c r="W117" i="203"/>
  <c r="Y117" i="203" s="1"/>
  <c r="V117" i="203"/>
  <c r="X117" i="203" s="1"/>
  <c r="K104" i="196"/>
  <c r="A127" i="195"/>
  <c r="B127" i="195" s="1"/>
  <c r="E127" i="195"/>
  <c r="R118" i="203"/>
  <c r="L104" i="196"/>
  <c r="N104" i="196"/>
  <c r="F127" i="195"/>
  <c r="C127" i="195"/>
  <c r="O104" i="196"/>
  <c r="S118" i="203"/>
  <c r="AB118" i="203"/>
  <c r="M104" i="196"/>
  <c r="D127" i="195"/>
  <c r="G127" i="195"/>
  <c r="AC118" i="203"/>
  <c r="H127" i="195"/>
  <c r="AD118" i="203" l="1"/>
  <c r="AE118" i="203" s="1"/>
  <c r="T118" i="203"/>
  <c r="U118" i="203" s="1"/>
  <c r="AA119" i="203"/>
  <c r="Q119" i="203"/>
  <c r="W118" i="203"/>
  <c r="Y118" i="203" s="1"/>
  <c r="AG118" i="203"/>
  <c r="AI118" i="203" s="1"/>
  <c r="AF118" i="203"/>
  <c r="AH118" i="203" s="1"/>
  <c r="V118" i="203"/>
  <c r="X118" i="203" s="1"/>
  <c r="K105" i="196"/>
  <c r="A128" i="195"/>
  <c r="B128" i="195" s="1"/>
  <c r="N105" i="196"/>
  <c r="L105" i="196"/>
  <c r="C128" i="195"/>
  <c r="F128" i="195"/>
  <c r="AC119" i="203"/>
  <c r="M105" i="196"/>
  <c r="H128" i="195"/>
  <c r="D128" i="195"/>
  <c r="O105" i="196"/>
  <c r="G128" i="195"/>
  <c r="AB119" i="203"/>
  <c r="E128" i="195"/>
  <c r="R119" i="203"/>
  <c r="S119" i="203"/>
  <c r="AD119" i="203" l="1"/>
  <c r="AE119" i="203" s="1"/>
  <c r="T119" i="203"/>
  <c r="U119" i="203" s="1"/>
  <c r="AA120" i="203"/>
  <c r="Q120" i="203"/>
  <c r="AG119" i="203"/>
  <c r="AI119" i="203" s="1"/>
  <c r="AF119" i="203"/>
  <c r="AH119" i="203" s="1"/>
  <c r="W119" i="203"/>
  <c r="Y119" i="203" s="1"/>
  <c r="V119" i="203"/>
  <c r="X119" i="203" s="1"/>
  <c r="K106" i="196"/>
  <c r="A129" i="195"/>
  <c r="B129" i="195" s="1"/>
  <c r="AB120" i="203"/>
  <c r="S120" i="203"/>
  <c r="E129" i="195"/>
  <c r="O106" i="196"/>
  <c r="M106" i="196"/>
  <c r="R120" i="203"/>
  <c r="D129" i="195"/>
  <c r="N106" i="196"/>
  <c r="C129" i="195"/>
  <c r="F129" i="195"/>
  <c r="L106" i="196"/>
  <c r="H129" i="195"/>
  <c r="G129" i="195"/>
  <c r="AC120" i="203"/>
  <c r="T120" i="203" l="1"/>
  <c r="U120" i="203" s="1"/>
  <c r="AD120" i="203"/>
  <c r="AE120" i="203" s="1"/>
  <c r="Q121" i="203"/>
  <c r="AA121" i="203"/>
  <c r="W120" i="203"/>
  <c r="Y120" i="203" s="1"/>
  <c r="AG120" i="203"/>
  <c r="AI120" i="203" s="1"/>
  <c r="AF120" i="203"/>
  <c r="AH120" i="203" s="1"/>
  <c r="V120" i="203"/>
  <c r="X120" i="203" s="1"/>
  <c r="K107" i="196"/>
  <c r="A130" i="195"/>
  <c r="B130" i="195" s="1"/>
  <c r="S121" i="203"/>
  <c r="G130" i="195"/>
  <c r="H130" i="195"/>
  <c r="AC121" i="203"/>
  <c r="O107" i="196"/>
  <c r="E130" i="195"/>
  <c r="R121" i="203"/>
  <c r="F130" i="195"/>
  <c r="M107" i="196"/>
  <c r="N107" i="196"/>
  <c r="L107" i="196"/>
  <c r="D130" i="195"/>
  <c r="C130" i="195"/>
  <c r="AB121" i="203"/>
  <c r="AD121" i="203" l="1"/>
  <c r="AE121" i="203" s="1"/>
  <c r="T121" i="203"/>
  <c r="U121" i="203" s="1"/>
  <c r="W121" i="203" s="1"/>
  <c r="Y121" i="203" s="1"/>
  <c r="AA122" i="203"/>
  <c r="Q122" i="203"/>
  <c r="AG121" i="203"/>
  <c r="AI121" i="203" s="1"/>
  <c r="AF121" i="203"/>
  <c r="AH121" i="203" s="1"/>
  <c r="V121" i="203"/>
  <c r="X121" i="203" s="1"/>
  <c r="K108" i="196"/>
  <c r="A131" i="195"/>
  <c r="B131" i="195" s="1"/>
  <c r="D131" i="195"/>
  <c r="E131" i="195"/>
  <c r="M108" i="196"/>
  <c r="C131" i="195"/>
  <c r="H131" i="195"/>
  <c r="O108" i="196"/>
  <c r="L108" i="196"/>
  <c r="N108" i="196"/>
  <c r="AB122" i="203"/>
  <c r="AC122" i="203"/>
  <c r="F131" i="195"/>
  <c r="G131" i="195"/>
  <c r="S122" i="203"/>
  <c r="R122" i="203"/>
  <c r="AD122" i="203" l="1"/>
  <c r="AE122" i="203" s="1"/>
  <c r="T122" i="203"/>
  <c r="U122" i="203" s="1"/>
  <c r="AA123" i="203"/>
  <c r="Q123" i="203"/>
  <c r="W122" i="203"/>
  <c r="Y122" i="203" s="1"/>
  <c r="AG122" i="203"/>
  <c r="AI122" i="203" s="1"/>
  <c r="AF122" i="203"/>
  <c r="AH122" i="203" s="1"/>
  <c r="V122" i="203"/>
  <c r="X122" i="203" s="1"/>
  <c r="K109" i="196"/>
  <c r="A132" i="195"/>
  <c r="B132" i="195" s="1"/>
  <c r="S123" i="203"/>
  <c r="G132" i="195"/>
  <c r="D132" i="195"/>
  <c r="L109" i="196"/>
  <c r="E132" i="195"/>
  <c r="F132" i="195"/>
  <c r="H132" i="195"/>
  <c r="M109" i="196"/>
  <c r="AB123" i="203"/>
  <c r="AC123" i="203"/>
  <c r="O109" i="196"/>
  <c r="C132" i="195"/>
  <c r="R123" i="203"/>
  <c r="N109" i="196"/>
  <c r="AD123" i="203" l="1"/>
  <c r="AE123" i="203" s="1"/>
  <c r="T123" i="203"/>
  <c r="U123" i="203" s="1"/>
  <c r="AA124" i="203"/>
  <c r="Q124" i="203"/>
  <c r="AG123" i="203"/>
  <c r="AI123" i="203" s="1"/>
  <c r="AF123" i="203"/>
  <c r="AH123" i="203" s="1"/>
  <c r="W123" i="203"/>
  <c r="Y123" i="203" s="1"/>
  <c r="V123" i="203"/>
  <c r="X123" i="203" s="1"/>
  <c r="K110" i="196"/>
  <c r="A133" i="195"/>
  <c r="B133" i="195" s="1"/>
  <c r="N110" i="196"/>
  <c r="L110" i="196"/>
  <c r="M110" i="196"/>
  <c r="S124" i="203"/>
  <c r="C133" i="195"/>
  <c r="AC124" i="203"/>
  <c r="E133" i="195"/>
  <c r="AB124" i="203"/>
  <c r="D133" i="195"/>
  <c r="R124" i="203"/>
  <c r="O110" i="196"/>
  <c r="F133" i="195"/>
  <c r="G133" i="195"/>
  <c r="H133" i="195"/>
  <c r="T124" i="203" l="1"/>
  <c r="AD124" i="203"/>
  <c r="AE124" i="203" s="1"/>
  <c r="Q125" i="203"/>
  <c r="AA125" i="203"/>
  <c r="W124" i="203"/>
  <c r="Y124" i="203" s="1"/>
  <c r="AG124" i="203"/>
  <c r="AI124" i="203" s="1"/>
  <c r="AF124" i="203"/>
  <c r="AH124" i="203" s="1"/>
  <c r="K111" i="196"/>
  <c r="A134" i="195"/>
  <c r="B134" i="195" s="1"/>
  <c r="E134" i="195"/>
  <c r="U124" i="203"/>
  <c r="F134" i="195"/>
  <c r="D134" i="195"/>
  <c r="M111" i="196"/>
  <c r="L111" i="196"/>
  <c r="H134" i="195"/>
  <c r="O111" i="196"/>
  <c r="G134" i="195"/>
  <c r="N111" i="196"/>
  <c r="AC125" i="203"/>
  <c r="AB125" i="203"/>
  <c r="C134" i="195"/>
  <c r="R125" i="203"/>
  <c r="S125" i="203"/>
  <c r="AD125" i="203" l="1"/>
  <c r="AE125" i="203" s="1"/>
  <c r="T125" i="203"/>
  <c r="V124" i="203"/>
  <c r="X124" i="203" s="1"/>
  <c r="AA126" i="203"/>
  <c r="Q126" i="203"/>
  <c r="AG125" i="203"/>
  <c r="AI125" i="203" s="1"/>
  <c r="AF125" i="203"/>
  <c r="AH125" i="203" s="1"/>
  <c r="W125" i="203"/>
  <c r="Y125" i="203" s="1"/>
  <c r="K112" i="196"/>
  <c r="A135" i="195"/>
  <c r="B135" i="195" s="1"/>
  <c r="L112" i="196"/>
  <c r="S126" i="203"/>
  <c r="F135" i="195"/>
  <c r="C135" i="195"/>
  <c r="AC126" i="203"/>
  <c r="R126" i="203"/>
  <c r="H135" i="195"/>
  <c r="M112" i="196"/>
  <c r="G135" i="195"/>
  <c r="D135" i="195"/>
  <c r="U125" i="203"/>
  <c r="N112" i="196"/>
  <c r="O112" i="196"/>
  <c r="AB126" i="203"/>
  <c r="E135" i="195"/>
  <c r="T126" i="203" l="1"/>
  <c r="AD126" i="203"/>
  <c r="Q127" i="203"/>
  <c r="AA127" i="203"/>
  <c r="V125" i="203"/>
  <c r="X125" i="203" s="1"/>
  <c r="AG126" i="203"/>
  <c r="AI126" i="203" s="1"/>
  <c r="W126" i="203"/>
  <c r="Y126" i="203" s="1"/>
  <c r="K113" i="196"/>
  <c r="A136" i="195"/>
  <c r="B136" i="195" s="1"/>
  <c r="O113" i="196"/>
  <c r="D136" i="195"/>
  <c r="E136" i="195"/>
  <c r="AB127" i="203"/>
  <c r="AE126" i="203"/>
  <c r="AC127" i="203"/>
  <c r="G136" i="195"/>
  <c r="H136" i="195"/>
  <c r="R127" i="203"/>
  <c r="C136" i="195"/>
  <c r="S127" i="203"/>
  <c r="F136" i="195"/>
  <c r="U126" i="203"/>
  <c r="M113" i="196"/>
  <c r="L113" i="196"/>
  <c r="N113" i="196"/>
  <c r="AD127" i="203" l="1"/>
  <c r="T127" i="203"/>
  <c r="AF126" i="203"/>
  <c r="AH126" i="203" s="1"/>
  <c r="V126" i="203"/>
  <c r="X126" i="203" s="1"/>
  <c r="AA128" i="203"/>
  <c r="Q128" i="203"/>
  <c r="AG127" i="203"/>
  <c r="AI127" i="203" s="1"/>
  <c r="W127" i="203"/>
  <c r="Y127" i="203" s="1"/>
  <c r="K114" i="196"/>
  <c r="A137" i="195"/>
  <c r="B137" i="195" s="1"/>
  <c r="M114" i="196"/>
  <c r="R128" i="203"/>
  <c r="H137" i="195"/>
  <c r="F137" i="195"/>
  <c r="L114" i="196"/>
  <c r="AE127" i="203"/>
  <c r="E137" i="195"/>
  <c r="S128" i="203"/>
  <c r="C137" i="195"/>
  <c r="G137" i="195"/>
  <c r="AB128" i="203"/>
  <c r="N114" i="196"/>
  <c r="D137" i="195"/>
  <c r="O114" i="196"/>
  <c r="U127" i="203"/>
  <c r="AC128" i="203"/>
  <c r="T128" i="203" l="1"/>
  <c r="AD128" i="203"/>
  <c r="V127" i="203"/>
  <c r="X127" i="203" s="1"/>
  <c r="AF127" i="203"/>
  <c r="AH127" i="203" s="1"/>
  <c r="Q129" i="203"/>
  <c r="AA129" i="203"/>
  <c r="AG128" i="203"/>
  <c r="AI128" i="203" s="1"/>
  <c r="W128" i="203"/>
  <c r="Y128" i="203" s="1"/>
  <c r="K115" i="196"/>
  <c r="A138" i="195"/>
  <c r="B138" i="195" s="1"/>
  <c r="M115" i="196"/>
  <c r="F138" i="195"/>
  <c r="C138" i="195"/>
  <c r="G138" i="195"/>
  <c r="E138" i="195"/>
  <c r="D138" i="195"/>
  <c r="U128" i="203"/>
  <c r="R129" i="203"/>
  <c r="N115" i="196"/>
  <c r="L115" i="196"/>
  <c r="S129" i="203"/>
  <c r="H138" i="195"/>
  <c r="AB129" i="203"/>
  <c r="O115" i="196"/>
  <c r="AC129" i="203"/>
  <c r="AE128" i="203"/>
  <c r="AF128" i="203" l="1"/>
  <c r="AH128" i="203" s="1"/>
  <c r="AD129" i="203"/>
  <c r="T129" i="203"/>
  <c r="V128" i="203"/>
  <c r="X128" i="203" s="1"/>
  <c r="AA130" i="203"/>
  <c r="Q130" i="203"/>
  <c r="AG129" i="203"/>
  <c r="AI129" i="203" s="1"/>
  <c r="K116" i="196"/>
  <c r="A139" i="195"/>
  <c r="B139" i="195" s="1"/>
  <c r="O116" i="196"/>
  <c r="S130" i="203"/>
  <c r="E139" i="195"/>
  <c r="N116" i="196"/>
  <c r="L116" i="196"/>
  <c r="R130" i="203"/>
  <c r="AE129" i="203"/>
  <c r="H139" i="195"/>
  <c r="AB130" i="203"/>
  <c r="G139" i="195"/>
  <c r="D139" i="195"/>
  <c r="AC130" i="203"/>
  <c r="M116" i="196"/>
  <c r="F139" i="195"/>
  <c r="C139" i="195"/>
  <c r="U129" i="203"/>
  <c r="T130" i="203" l="1"/>
  <c r="AD130" i="203"/>
  <c r="AG130" i="203" s="1"/>
  <c r="AI130" i="203" s="1"/>
  <c r="AF129" i="203"/>
  <c r="AH129" i="203" s="1"/>
  <c r="Q131" i="203"/>
  <c r="AA131" i="203"/>
  <c r="V129" i="203"/>
  <c r="X129" i="203" s="1"/>
  <c r="W129" i="203"/>
  <c r="Y129" i="203" s="1"/>
  <c r="W130" i="203"/>
  <c r="Y130" i="203" s="1"/>
  <c r="K117" i="196"/>
  <c r="A140" i="195"/>
  <c r="B140" i="195" s="1"/>
  <c r="H140" i="195"/>
  <c r="F140" i="195"/>
  <c r="S131" i="203"/>
  <c r="L117" i="196"/>
  <c r="E140" i="195"/>
  <c r="G140" i="195"/>
  <c r="R131" i="203"/>
  <c r="AE130" i="203"/>
  <c r="AB131" i="203"/>
  <c r="D140" i="195"/>
  <c r="N117" i="196"/>
  <c r="C140" i="195"/>
  <c r="U130" i="203"/>
  <c r="O117" i="196"/>
  <c r="AC131" i="203"/>
  <c r="M117" i="196"/>
  <c r="AD131" i="203" l="1"/>
  <c r="T131" i="203"/>
  <c r="AF130" i="203"/>
  <c r="AH130" i="203" s="1"/>
  <c r="V130" i="203"/>
  <c r="X130" i="203" s="1"/>
  <c r="AA132" i="203"/>
  <c r="Q132" i="203"/>
  <c r="AG131" i="203"/>
  <c r="AI131" i="203" s="1"/>
  <c r="W131" i="203"/>
  <c r="Y131" i="203" s="1"/>
  <c r="K118" i="196"/>
  <c r="A141" i="195"/>
  <c r="B141" i="195" s="1"/>
  <c r="AC132" i="203"/>
  <c r="D141" i="195"/>
  <c r="H141" i="195"/>
  <c r="U131" i="203"/>
  <c r="F141" i="195"/>
  <c r="N118" i="196"/>
  <c r="R132" i="203"/>
  <c r="L118" i="196"/>
  <c r="G141" i="195"/>
  <c r="AE131" i="203"/>
  <c r="E141" i="195"/>
  <c r="M118" i="196"/>
  <c r="C141" i="195"/>
  <c r="O118" i="196"/>
  <c r="S132" i="203"/>
  <c r="AB132" i="203"/>
  <c r="T132" i="203" l="1"/>
  <c r="V131" i="203"/>
  <c r="X131" i="203" s="1"/>
  <c r="AD132" i="203"/>
  <c r="AF131" i="203"/>
  <c r="AH131" i="203" s="1"/>
  <c r="Q133" i="203"/>
  <c r="AA133" i="203"/>
  <c r="AG132" i="203"/>
  <c r="AI132" i="203" s="1"/>
  <c r="W132" i="203"/>
  <c r="Y132" i="203" s="1"/>
  <c r="K119" i="196"/>
  <c r="A142" i="195"/>
  <c r="B142" i="195" s="1"/>
  <c r="O119" i="196"/>
  <c r="C142" i="195"/>
  <c r="F142" i="195"/>
  <c r="G142" i="195"/>
  <c r="AB133" i="203"/>
  <c r="AC133" i="203"/>
  <c r="U132" i="203"/>
  <c r="AE132" i="203"/>
  <c r="S133" i="203"/>
  <c r="L119" i="196"/>
  <c r="M119" i="196"/>
  <c r="R133" i="203"/>
  <c r="H142" i="195"/>
  <c r="E142" i="195"/>
  <c r="N119" i="196"/>
  <c r="D142" i="195"/>
  <c r="AD133" i="203" l="1"/>
  <c r="T133" i="203"/>
  <c r="V132" i="203"/>
  <c r="X132" i="203" s="1"/>
  <c r="AA134" i="203"/>
  <c r="Q134" i="203"/>
  <c r="AF132" i="203"/>
  <c r="AH132" i="203" s="1"/>
  <c r="W133" i="203"/>
  <c r="Y133" i="203" s="1"/>
  <c r="AG133" i="203"/>
  <c r="AI133" i="203" s="1"/>
  <c r="K120" i="196"/>
  <c r="A143" i="195"/>
  <c r="B143" i="195" s="1"/>
  <c r="H143" i="195"/>
  <c r="S134" i="203"/>
  <c r="O120" i="196"/>
  <c r="N120" i="196"/>
  <c r="G143" i="195"/>
  <c r="AE133" i="203"/>
  <c r="E143" i="195"/>
  <c r="F143" i="195"/>
  <c r="AB134" i="203"/>
  <c r="AC134" i="203"/>
  <c r="L120" i="196"/>
  <c r="R134" i="203"/>
  <c r="U133" i="203"/>
  <c r="M120" i="196"/>
  <c r="C143" i="195"/>
  <c r="D143" i="195"/>
  <c r="T134" i="203" l="1"/>
  <c r="AD134" i="203"/>
  <c r="V133" i="203"/>
  <c r="X133" i="203" s="1"/>
  <c r="AF133" i="203"/>
  <c r="AH133" i="203" s="1"/>
  <c r="Q135" i="203"/>
  <c r="AA135" i="203"/>
  <c r="AG134" i="203"/>
  <c r="AI134" i="203" s="1"/>
  <c r="W134" i="203"/>
  <c r="Y134" i="203" s="1"/>
  <c r="K121" i="196"/>
  <c r="A144" i="195"/>
  <c r="B144" i="195" s="1"/>
  <c r="G144" i="195"/>
  <c r="S135" i="203"/>
  <c r="U134" i="203"/>
  <c r="O121" i="196"/>
  <c r="N121" i="196"/>
  <c r="H144" i="195"/>
  <c r="AB135" i="203"/>
  <c r="D144" i="195"/>
  <c r="C144" i="195"/>
  <c r="E144" i="195"/>
  <c r="R135" i="203"/>
  <c r="L121" i="196"/>
  <c r="M121" i="196"/>
  <c r="AC135" i="203"/>
  <c r="F144" i="195"/>
  <c r="AE134" i="203"/>
  <c r="AD135" i="203" l="1"/>
  <c r="T135" i="203"/>
  <c r="AF134" i="203"/>
  <c r="AH134" i="203" s="1"/>
  <c r="V134" i="203"/>
  <c r="X134" i="203" s="1"/>
  <c r="AA136" i="203"/>
  <c r="Q136" i="203"/>
  <c r="AG135" i="203"/>
  <c r="AI135" i="203" s="1"/>
  <c r="W135" i="203"/>
  <c r="Y135" i="203" s="1"/>
  <c r="K122" i="196"/>
  <c r="A145" i="195"/>
  <c r="B145" i="195" s="1"/>
  <c r="D145" i="195"/>
  <c r="F145" i="195"/>
  <c r="N122" i="196"/>
  <c r="O122" i="196"/>
  <c r="AC136" i="203"/>
  <c r="M122" i="196"/>
  <c r="C145" i="195"/>
  <c r="E145" i="195"/>
  <c r="AB136" i="203"/>
  <c r="AE135" i="203"/>
  <c r="H145" i="195"/>
  <c r="S136" i="203"/>
  <c r="G145" i="195"/>
  <c r="R136" i="203"/>
  <c r="U135" i="203"/>
  <c r="L122" i="196"/>
  <c r="T136" i="203" l="1"/>
  <c r="AD136" i="203"/>
  <c r="V135" i="203"/>
  <c r="X135" i="203" s="1"/>
  <c r="AF135" i="203"/>
  <c r="AH135" i="203" s="1"/>
  <c r="Q137" i="203"/>
  <c r="AA137" i="203"/>
  <c r="AG136" i="203"/>
  <c r="AI136" i="203" s="1"/>
  <c r="W136" i="203"/>
  <c r="Y136" i="203" s="1"/>
  <c r="K123" i="196"/>
  <c r="A146" i="195"/>
  <c r="B146" i="195" s="1"/>
  <c r="D146" i="195"/>
  <c r="O123" i="196"/>
  <c r="H146" i="195"/>
  <c r="G146" i="195"/>
  <c r="AC137" i="203"/>
  <c r="N123" i="196"/>
  <c r="R137" i="203"/>
  <c r="U136" i="203"/>
  <c r="M123" i="196"/>
  <c r="L123" i="196"/>
  <c r="C146" i="195"/>
  <c r="S137" i="203"/>
  <c r="F146" i="195"/>
  <c r="E146" i="195"/>
  <c r="AB137" i="203"/>
  <c r="AE136" i="203"/>
  <c r="T137" i="203" l="1"/>
  <c r="AF136" i="203"/>
  <c r="AH136" i="203" s="1"/>
  <c r="AD137" i="203"/>
  <c r="V136" i="203"/>
  <c r="X136" i="203" s="1"/>
  <c r="Q138" i="203"/>
  <c r="AA138" i="203"/>
  <c r="W137" i="203"/>
  <c r="Y137" i="203" s="1"/>
  <c r="AG137" i="203"/>
  <c r="AI137" i="203" s="1"/>
  <c r="K124" i="196"/>
  <c r="A147" i="195"/>
  <c r="B147" i="195" s="1"/>
  <c r="H147" i="195"/>
  <c r="AB138" i="203"/>
  <c r="E147" i="195"/>
  <c r="M124" i="196"/>
  <c r="R138" i="203"/>
  <c r="U137" i="203"/>
  <c r="D147" i="195"/>
  <c r="G147" i="195"/>
  <c r="F147" i="195"/>
  <c r="N124" i="196"/>
  <c r="C147" i="195"/>
  <c r="L124" i="196"/>
  <c r="S138" i="203"/>
  <c r="O124" i="196"/>
  <c r="AE137" i="203"/>
  <c r="AC138" i="203"/>
  <c r="AD138" i="203" l="1"/>
  <c r="T138" i="203"/>
  <c r="AF137" i="203"/>
  <c r="AH137" i="203" s="1"/>
  <c r="V137" i="203"/>
  <c r="X137" i="203" s="1"/>
  <c r="AA139" i="203"/>
  <c r="Q139" i="203"/>
  <c r="AG138" i="203"/>
  <c r="AI138" i="203" s="1"/>
  <c r="K125" i="196"/>
  <c r="A148" i="195"/>
  <c r="B148" i="195" s="1"/>
  <c r="U138" i="203"/>
  <c r="S139" i="203"/>
  <c r="AE138" i="203"/>
  <c r="C148" i="195"/>
  <c r="F148" i="195"/>
  <c r="M125" i="196"/>
  <c r="R139" i="203"/>
  <c r="E148" i="195"/>
  <c r="H148" i="195"/>
  <c r="G148" i="195"/>
  <c r="O125" i="196"/>
  <c r="AB139" i="203"/>
  <c r="L125" i="196"/>
  <c r="D148" i="195"/>
  <c r="N125" i="196"/>
  <c r="AC139" i="203"/>
  <c r="T139" i="203" l="1"/>
  <c r="V138" i="203"/>
  <c r="X138" i="203" s="1"/>
  <c r="AD139" i="203"/>
  <c r="AF138" i="203"/>
  <c r="AH138" i="203" s="1"/>
  <c r="Q140" i="203"/>
  <c r="AA140" i="203"/>
  <c r="W138" i="203"/>
  <c r="Y138" i="203" s="1"/>
  <c r="AG139" i="203"/>
  <c r="AI139" i="203" s="1"/>
  <c r="W139" i="203"/>
  <c r="Y139" i="203" s="1"/>
  <c r="K126" i="196"/>
  <c r="A149" i="195"/>
  <c r="B149" i="195" s="1"/>
  <c r="C149" i="195"/>
  <c r="R140" i="203"/>
  <c r="M126" i="196"/>
  <c r="S140" i="203"/>
  <c r="L126" i="196"/>
  <c r="AB140" i="203"/>
  <c r="G149" i="195"/>
  <c r="AC140" i="203"/>
  <c r="F149" i="195"/>
  <c r="H149" i="195"/>
  <c r="N126" i="196"/>
  <c r="U139" i="203"/>
  <c r="E149" i="195"/>
  <c r="D149" i="195"/>
  <c r="O126" i="196"/>
  <c r="AE139" i="203"/>
  <c r="AD140" i="203" l="1"/>
  <c r="T140" i="203"/>
  <c r="V139" i="203"/>
  <c r="X139" i="203" s="1"/>
  <c r="AA141" i="203"/>
  <c r="Q141" i="203"/>
  <c r="AF139" i="203"/>
  <c r="AH139" i="203" s="1"/>
  <c r="AG140" i="203"/>
  <c r="AI140" i="203" s="1"/>
  <c r="K127" i="196"/>
  <c r="A150" i="195"/>
  <c r="B150" i="195" s="1"/>
  <c r="O127" i="196"/>
  <c r="N127" i="196"/>
  <c r="S141" i="203"/>
  <c r="G150" i="195"/>
  <c r="AE140" i="203"/>
  <c r="E150" i="195"/>
  <c r="R141" i="203"/>
  <c r="C150" i="195"/>
  <c r="F150" i="195"/>
  <c r="H150" i="195"/>
  <c r="AB141" i="203"/>
  <c r="U140" i="203"/>
  <c r="D150" i="195"/>
  <c r="M127" i="196"/>
  <c r="AC141" i="203"/>
  <c r="L127" i="196"/>
  <c r="T141" i="203" l="1"/>
  <c r="AD141" i="203"/>
  <c r="V140" i="203"/>
  <c r="X140" i="203" s="1"/>
  <c r="AF140" i="203"/>
  <c r="AH140" i="203" s="1"/>
  <c r="Q142" i="203"/>
  <c r="AA142" i="203"/>
  <c r="W140" i="203"/>
  <c r="Y140" i="203" s="1"/>
  <c r="W141" i="203"/>
  <c r="Y141" i="203" s="1"/>
  <c r="K128" i="196"/>
  <c r="A151" i="195"/>
  <c r="B151" i="195" s="1"/>
  <c r="S142" i="203"/>
  <c r="D151" i="195"/>
  <c r="O128" i="196"/>
  <c r="F151" i="195"/>
  <c r="N128" i="196"/>
  <c r="H151" i="195"/>
  <c r="G151" i="195"/>
  <c r="E151" i="195"/>
  <c r="L128" i="196"/>
  <c r="AC142" i="203"/>
  <c r="AB142" i="203"/>
  <c r="R142" i="203"/>
  <c r="U141" i="203"/>
  <c r="M128" i="196"/>
  <c r="C151" i="195"/>
  <c r="AE141" i="203"/>
  <c r="AD142" i="203" l="1"/>
  <c r="T142" i="203"/>
  <c r="W142" i="203" s="1"/>
  <c r="Y142" i="203" s="1"/>
  <c r="AF141" i="203"/>
  <c r="AH141" i="203" s="1"/>
  <c r="V141" i="203"/>
  <c r="X141" i="203" s="1"/>
  <c r="AA143" i="203"/>
  <c r="Q143" i="203"/>
  <c r="AG141" i="203"/>
  <c r="AI141" i="203" s="1"/>
  <c r="AG142" i="203"/>
  <c r="AI142" i="203" s="1"/>
  <c r="K129" i="196"/>
  <c r="A152" i="195"/>
  <c r="B152" i="195" s="1"/>
  <c r="N129" i="196"/>
  <c r="L129" i="196"/>
  <c r="D152" i="195"/>
  <c r="C152" i="195"/>
  <c r="F152" i="195"/>
  <c r="H152" i="195"/>
  <c r="AC143" i="203"/>
  <c r="AB143" i="203"/>
  <c r="E152" i="195"/>
  <c r="G152" i="195"/>
  <c r="R143" i="203"/>
  <c r="U142" i="203"/>
  <c r="O129" i="196"/>
  <c r="AE142" i="203"/>
  <c r="M129" i="196"/>
  <c r="S143" i="203"/>
  <c r="T143" i="203" l="1"/>
  <c r="AD143" i="203"/>
  <c r="V142" i="203"/>
  <c r="X142" i="203" s="1"/>
  <c r="AF142" i="203"/>
  <c r="AH142" i="203" s="1"/>
  <c r="Q144" i="203"/>
  <c r="AA144" i="203"/>
  <c r="W143" i="203"/>
  <c r="Y143" i="203" s="1"/>
  <c r="AG143" i="203"/>
  <c r="AI143" i="203" s="1"/>
  <c r="K130" i="196"/>
  <c r="A153" i="195"/>
  <c r="B153" i="195" s="1"/>
  <c r="N130" i="196"/>
  <c r="G153" i="195"/>
  <c r="O130" i="196"/>
  <c r="S144" i="203"/>
  <c r="AB144" i="203"/>
  <c r="L130" i="196"/>
  <c r="D153" i="195"/>
  <c r="U143" i="203"/>
  <c r="AC144" i="203"/>
  <c r="R144" i="203"/>
  <c r="M130" i="196"/>
  <c r="C153" i="195"/>
  <c r="F153" i="195"/>
  <c r="AE143" i="203"/>
  <c r="H153" i="195"/>
  <c r="E153" i="195"/>
  <c r="T144" i="203" l="1"/>
  <c r="AD144" i="203"/>
  <c r="V143" i="203"/>
  <c r="X143" i="203" s="1"/>
  <c r="Q145" i="203"/>
  <c r="AA145" i="203"/>
  <c r="AF143" i="203"/>
  <c r="AH143" i="203" s="1"/>
  <c r="AG144" i="203"/>
  <c r="AI144" i="203" s="1"/>
  <c r="W144" i="203"/>
  <c r="Y144" i="203" s="1"/>
  <c r="K131" i="196"/>
  <c r="A154" i="195"/>
  <c r="B154" i="195" s="1"/>
  <c r="AB145" i="203"/>
  <c r="O131" i="196"/>
  <c r="C154" i="195"/>
  <c r="L131" i="196"/>
  <c r="H154" i="195"/>
  <c r="D154" i="195"/>
  <c r="M131" i="196"/>
  <c r="R145" i="203"/>
  <c r="AC145" i="203"/>
  <c r="U144" i="203"/>
  <c r="N131" i="196"/>
  <c r="F154" i="195"/>
  <c r="AE144" i="203"/>
  <c r="S145" i="203"/>
  <c r="G154" i="195"/>
  <c r="E154" i="195"/>
  <c r="T145" i="203" l="1"/>
  <c r="AD145" i="203"/>
  <c r="AF144" i="203"/>
  <c r="AH144" i="203" s="1"/>
  <c r="V144" i="203"/>
  <c r="X144" i="203" s="1"/>
  <c r="Q146" i="203"/>
  <c r="AA146" i="203"/>
  <c r="AG145" i="203"/>
  <c r="AI145" i="203" s="1"/>
  <c r="W145" i="203"/>
  <c r="Y145" i="203" s="1"/>
  <c r="K132" i="196"/>
  <c r="A155" i="195"/>
  <c r="B155" i="195" s="1"/>
  <c r="M132" i="196"/>
  <c r="R146" i="203"/>
  <c r="E155" i="195"/>
  <c r="G155" i="195"/>
  <c r="U145" i="203"/>
  <c r="AC146" i="203"/>
  <c r="H155" i="195"/>
  <c r="AB146" i="203"/>
  <c r="C155" i="195"/>
  <c r="D155" i="195"/>
  <c r="O132" i="196"/>
  <c r="L132" i="196"/>
  <c r="AE145" i="203"/>
  <c r="N132" i="196"/>
  <c r="F155" i="195"/>
  <c r="S146" i="203"/>
  <c r="T146" i="203" l="1"/>
  <c r="AD146" i="203"/>
  <c r="AF145" i="203"/>
  <c r="AH145" i="203" s="1"/>
  <c r="V145" i="203"/>
  <c r="X145" i="203" s="1"/>
  <c r="Q147" i="203"/>
  <c r="AA147" i="203"/>
  <c r="W146" i="203"/>
  <c r="Y146" i="203" s="1"/>
  <c r="AG146" i="203"/>
  <c r="AI146" i="203" s="1"/>
  <c r="K133" i="196"/>
  <c r="A156" i="195"/>
  <c r="B156" i="195" s="1"/>
  <c r="G156" i="195"/>
  <c r="AC147" i="203"/>
  <c r="M133" i="196"/>
  <c r="H156" i="195"/>
  <c r="C156" i="195"/>
  <c r="O133" i="196"/>
  <c r="F156" i="195"/>
  <c r="E156" i="195"/>
  <c r="S147" i="203"/>
  <c r="N133" i="196"/>
  <c r="AE146" i="203"/>
  <c r="L133" i="196"/>
  <c r="R147" i="203"/>
  <c r="D156" i="195"/>
  <c r="AB147" i="203"/>
  <c r="U146" i="203"/>
  <c r="AD147" i="203" l="1"/>
  <c r="T147" i="203"/>
  <c r="AF146" i="203"/>
  <c r="AH146" i="203" s="1"/>
  <c r="V146" i="203"/>
  <c r="X146" i="203" s="1"/>
  <c r="AA148" i="203"/>
  <c r="Q148" i="203"/>
  <c r="W147" i="203"/>
  <c r="Y147" i="203" s="1"/>
  <c r="AG147" i="203"/>
  <c r="AI147" i="203" s="1"/>
  <c r="K134" i="196"/>
  <c r="A157" i="195"/>
  <c r="B157" i="195" s="1"/>
  <c r="N134" i="196"/>
  <c r="D157" i="195"/>
  <c r="O134" i="196"/>
  <c r="AB148" i="203"/>
  <c r="S148" i="203"/>
  <c r="E157" i="195"/>
  <c r="C157" i="195"/>
  <c r="R148" i="203"/>
  <c r="AE147" i="203"/>
  <c r="AC148" i="203"/>
  <c r="U147" i="203"/>
  <c r="M134" i="196"/>
  <c r="H157" i="195"/>
  <c r="F157" i="195"/>
  <c r="G157" i="195"/>
  <c r="L134" i="196"/>
  <c r="T148" i="203" l="1"/>
  <c r="AD148" i="203"/>
  <c r="V147" i="203"/>
  <c r="X147" i="203" s="1"/>
  <c r="AF147" i="203"/>
  <c r="AH147" i="203" s="1"/>
  <c r="Q149" i="203"/>
  <c r="AA149" i="203"/>
  <c r="AG148" i="203"/>
  <c r="AI148" i="203" s="1"/>
  <c r="W148" i="203"/>
  <c r="Y148" i="203" s="1"/>
  <c r="K135" i="196"/>
  <c r="A158" i="195"/>
  <c r="B158" i="195" s="1"/>
  <c r="C158" i="195"/>
  <c r="AC149" i="203"/>
  <c r="AB149" i="203"/>
  <c r="N135" i="196"/>
  <c r="R149" i="203"/>
  <c r="S149" i="203"/>
  <c r="H158" i="195"/>
  <c r="D158" i="195"/>
  <c r="G158" i="195"/>
  <c r="O135" i="196"/>
  <c r="F158" i="195"/>
  <c r="U148" i="203"/>
  <c r="E158" i="195"/>
  <c r="M135" i="196"/>
  <c r="L135" i="196"/>
  <c r="AE148" i="203"/>
  <c r="AD149" i="203" l="1"/>
  <c r="T149" i="203"/>
  <c r="AF148" i="203"/>
  <c r="AH148" i="203" s="1"/>
  <c r="V148" i="203"/>
  <c r="X148" i="203" s="1"/>
  <c r="AA150" i="203"/>
  <c r="Q150" i="203"/>
  <c r="W149" i="203"/>
  <c r="Y149" i="203" s="1"/>
  <c r="AG149" i="203"/>
  <c r="AI149" i="203" s="1"/>
  <c r="K136" i="196"/>
  <c r="A159" i="195"/>
  <c r="B159" i="195" s="1"/>
  <c r="AB150" i="203"/>
  <c r="F159" i="195"/>
  <c r="G159" i="195"/>
  <c r="AE149" i="203"/>
  <c r="E159" i="195"/>
  <c r="C159" i="195"/>
  <c r="S150" i="203"/>
  <c r="D159" i="195"/>
  <c r="L136" i="196"/>
  <c r="R150" i="203"/>
  <c r="O136" i="196"/>
  <c r="N136" i="196"/>
  <c r="U149" i="203"/>
  <c r="M136" i="196"/>
  <c r="H159" i="195"/>
  <c r="AC150" i="203"/>
  <c r="T150" i="203" l="1"/>
  <c r="AD150" i="203"/>
  <c r="V149" i="203"/>
  <c r="X149" i="203" s="1"/>
  <c r="AF149" i="203"/>
  <c r="AH149" i="203" s="1"/>
  <c r="Q151" i="203"/>
  <c r="AA151" i="203"/>
  <c r="W150" i="203"/>
  <c r="Y150" i="203" s="1"/>
  <c r="AG150" i="203"/>
  <c r="AI150" i="203" s="1"/>
  <c r="K137" i="196"/>
  <c r="A160" i="195"/>
  <c r="B160" i="195" s="1"/>
  <c r="M137" i="196"/>
  <c r="E160" i="195"/>
  <c r="F160" i="195"/>
  <c r="U150" i="203"/>
  <c r="S151" i="203"/>
  <c r="N137" i="196"/>
  <c r="AC151" i="203"/>
  <c r="G160" i="195"/>
  <c r="AE150" i="203"/>
  <c r="D160" i="195"/>
  <c r="R151" i="203"/>
  <c r="C160" i="195"/>
  <c r="AB151" i="203"/>
  <c r="H160" i="195"/>
  <c r="L137" i="196"/>
  <c r="O137" i="196"/>
  <c r="AD151" i="203" l="1"/>
  <c r="T151" i="203"/>
  <c r="AF150" i="203"/>
  <c r="AH150" i="203" s="1"/>
  <c r="V150" i="203"/>
  <c r="X150" i="203" s="1"/>
  <c r="AA152" i="203"/>
  <c r="Q152" i="203"/>
  <c r="AG151" i="203"/>
  <c r="AI151" i="203" s="1"/>
  <c r="W151" i="203"/>
  <c r="Y151" i="203" s="1"/>
  <c r="K138" i="196"/>
  <c r="A161" i="195"/>
  <c r="B161" i="195" s="1"/>
  <c r="E161" i="195"/>
  <c r="AC152" i="203"/>
  <c r="AB152" i="203"/>
  <c r="L138" i="196"/>
  <c r="N138" i="196"/>
  <c r="S152" i="203"/>
  <c r="M138" i="196"/>
  <c r="U151" i="203"/>
  <c r="AE151" i="203"/>
  <c r="H161" i="195"/>
  <c r="F161" i="195"/>
  <c r="D161" i="195"/>
  <c r="C161" i="195"/>
  <c r="O138" i="196"/>
  <c r="R152" i="203"/>
  <c r="G161" i="195"/>
  <c r="AD152" i="203" l="1"/>
  <c r="V151" i="203"/>
  <c r="X151" i="203" s="1"/>
  <c r="T152" i="203"/>
  <c r="AF151" i="203"/>
  <c r="AH151" i="203" s="1"/>
  <c r="AA153" i="203"/>
  <c r="Q153" i="203"/>
  <c r="AG152" i="203"/>
  <c r="AI152" i="203" s="1"/>
  <c r="W152" i="203"/>
  <c r="Y152" i="203" s="1"/>
  <c r="K139" i="196"/>
  <c r="A162" i="195"/>
  <c r="B162" i="195" s="1"/>
  <c r="E162" i="195"/>
  <c r="G162" i="195"/>
  <c r="M139" i="196"/>
  <c r="AB153" i="203"/>
  <c r="O139" i="196"/>
  <c r="L139" i="196"/>
  <c r="H162" i="195"/>
  <c r="AE152" i="203"/>
  <c r="R153" i="203"/>
  <c r="AC153" i="203"/>
  <c r="D162" i="195"/>
  <c r="N139" i="196"/>
  <c r="C162" i="195"/>
  <c r="S153" i="203"/>
  <c r="F162" i="195"/>
  <c r="U152" i="203"/>
  <c r="T153" i="203" l="1"/>
  <c r="AD153" i="203"/>
  <c r="AF152" i="203"/>
  <c r="AH152" i="203" s="1"/>
  <c r="Q154" i="203"/>
  <c r="AA154" i="203"/>
  <c r="V152" i="203"/>
  <c r="X152" i="203" s="1"/>
  <c r="AG153" i="203"/>
  <c r="AI153" i="203" s="1"/>
  <c r="W153" i="203"/>
  <c r="Y153" i="203" s="1"/>
  <c r="K140" i="196"/>
  <c r="A163" i="195"/>
  <c r="B163" i="195" s="1"/>
  <c r="M140" i="196"/>
  <c r="G163" i="195"/>
  <c r="U153" i="203"/>
  <c r="AC154" i="203"/>
  <c r="L140" i="196"/>
  <c r="O140" i="196"/>
  <c r="H163" i="195"/>
  <c r="R154" i="203"/>
  <c r="C163" i="195"/>
  <c r="AB154" i="203"/>
  <c r="AE153" i="203"/>
  <c r="F163" i="195"/>
  <c r="S154" i="203"/>
  <c r="E163" i="195"/>
  <c r="D163" i="195"/>
  <c r="N140" i="196"/>
  <c r="AD154" i="203" l="1"/>
  <c r="T154" i="203"/>
  <c r="AF153" i="203"/>
  <c r="AH153" i="203" s="1"/>
  <c r="V153" i="203"/>
  <c r="X153" i="203" s="1"/>
  <c r="AA155" i="203"/>
  <c r="Q155" i="203"/>
  <c r="AG154" i="203"/>
  <c r="AI154" i="203" s="1"/>
  <c r="W154" i="203"/>
  <c r="Y154" i="203" s="1"/>
  <c r="K141" i="196"/>
  <c r="A164" i="195"/>
  <c r="B164" i="195" s="1"/>
  <c r="S155" i="203"/>
  <c r="M141" i="196"/>
  <c r="E164" i="195"/>
  <c r="AB155" i="203"/>
  <c r="H164" i="195"/>
  <c r="AC155" i="203"/>
  <c r="AE154" i="203"/>
  <c r="L141" i="196"/>
  <c r="O141" i="196"/>
  <c r="C164" i="195"/>
  <c r="R155" i="203"/>
  <c r="G164" i="195"/>
  <c r="N141" i="196"/>
  <c r="F164" i="195"/>
  <c r="D164" i="195"/>
  <c r="U154" i="203"/>
  <c r="T155" i="203" l="1"/>
  <c r="AD155" i="203"/>
  <c r="V154" i="203"/>
  <c r="X154" i="203" s="1"/>
  <c r="AF154" i="203"/>
  <c r="AH154" i="203" s="1"/>
  <c r="Q156" i="203"/>
  <c r="AA156" i="203"/>
  <c r="AG155" i="203"/>
  <c r="AI155" i="203" s="1"/>
  <c r="W155" i="203"/>
  <c r="Y155" i="203" s="1"/>
  <c r="K142" i="196"/>
  <c r="A165" i="195"/>
  <c r="B165" i="195" s="1"/>
  <c r="C165" i="195"/>
  <c r="AB156" i="203"/>
  <c r="O142" i="196"/>
  <c r="E165" i="195"/>
  <c r="R156" i="203"/>
  <c r="N142" i="196"/>
  <c r="AC156" i="203"/>
  <c r="G165" i="195"/>
  <c r="S156" i="203"/>
  <c r="M142" i="196"/>
  <c r="U155" i="203"/>
  <c r="D165" i="195"/>
  <c r="H165" i="195"/>
  <c r="F165" i="195"/>
  <c r="AE155" i="203"/>
  <c r="L142" i="196"/>
  <c r="AD156" i="203" l="1"/>
  <c r="T156" i="203"/>
  <c r="W156" i="203" s="1"/>
  <c r="Y156" i="203" s="1"/>
  <c r="AF155" i="203"/>
  <c r="AH155" i="203" s="1"/>
  <c r="V155" i="203"/>
  <c r="X155" i="203" s="1"/>
  <c r="AA157" i="203"/>
  <c r="Q157" i="203"/>
  <c r="AG156" i="203"/>
  <c r="AI156" i="203" s="1"/>
  <c r="K143" i="196"/>
  <c r="A166" i="195"/>
  <c r="B166" i="195" s="1"/>
  <c r="M143" i="196"/>
  <c r="N143" i="196"/>
  <c r="C166" i="195"/>
  <c r="L143" i="196"/>
  <c r="R157" i="203"/>
  <c r="AE156" i="203"/>
  <c r="O143" i="196"/>
  <c r="E166" i="195"/>
  <c r="U156" i="203"/>
  <c r="D166" i="195"/>
  <c r="F166" i="195"/>
  <c r="AB157" i="203"/>
  <c r="G166" i="195"/>
  <c r="AC157" i="203"/>
  <c r="S157" i="203"/>
  <c r="H166" i="195"/>
  <c r="T157" i="203" l="1"/>
  <c r="AD157" i="203"/>
  <c r="V156" i="203"/>
  <c r="X156" i="203" s="1"/>
  <c r="AF156" i="203"/>
  <c r="AH156" i="203" s="1"/>
  <c r="Q158" i="203"/>
  <c r="AA158" i="203"/>
  <c r="W157" i="203"/>
  <c r="Y157" i="203" s="1"/>
  <c r="K144" i="196"/>
  <c r="A167" i="195"/>
  <c r="B167" i="195" s="1"/>
  <c r="H167" i="195"/>
  <c r="O144" i="196"/>
  <c r="M144" i="196"/>
  <c r="G167" i="195"/>
  <c r="U157" i="203"/>
  <c r="C167" i="195"/>
  <c r="S158" i="203"/>
  <c r="F167" i="195"/>
  <c r="E167" i="195"/>
  <c r="R158" i="203"/>
  <c r="AB158" i="203"/>
  <c r="N144" i="196"/>
  <c r="AC158" i="203"/>
  <c r="D167" i="195"/>
  <c r="L144" i="196"/>
  <c r="AE157" i="203"/>
  <c r="AG157" i="203" l="1"/>
  <c r="AI157" i="203" s="1"/>
  <c r="AD158" i="203"/>
  <c r="T158" i="203"/>
  <c r="AF157" i="203"/>
  <c r="AH157" i="203" s="1"/>
  <c r="V157" i="203"/>
  <c r="X157" i="203" s="1"/>
  <c r="AA159" i="203"/>
  <c r="Q159" i="203"/>
  <c r="AG158" i="203"/>
  <c r="AI158" i="203" s="1"/>
  <c r="W158" i="203"/>
  <c r="Y158" i="203" s="1"/>
  <c r="K145" i="196"/>
  <c r="A168" i="195"/>
  <c r="B168" i="195" s="1"/>
  <c r="M145" i="196"/>
  <c r="D168" i="195"/>
  <c r="F168" i="195"/>
  <c r="R159" i="203"/>
  <c r="E168" i="195"/>
  <c r="H168" i="195"/>
  <c r="G168" i="195"/>
  <c r="C168" i="195"/>
  <c r="AC159" i="203"/>
  <c r="AB159" i="203"/>
  <c r="S159" i="203"/>
  <c r="AE158" i="203"/>
  <c r="U158" i="203"/>
  <c r="L145" i="196"/>
  <c r="N145" i="196"/>
  <c r="O145" i="196"/>
  <c r="T159" i="203" l="1"/>
  <c r="AD159" i="203"/>
  <c r="V158" i="203"/>
  <c r="X158" i="203" s="1"/>
  <c r="AF158" i="203"/>
  <c r="AH158" i="203" s="1"/>
  <c r="Q160" i="203"/>
  <c r="AA160" i="203"/>
  <c r="AG159" i="203"/>
  <c r="AI159" i="203" s="1"/>
  <c r="W159" i="203"/>
  <c r="Y159" i="203" s="1"/>
  <c r="K146" i="196"/>
  <c r="A169" i="195"/>
  <c r="B169" i="195" s="1"/>
  <c r="N146" i="196"/>
  <c r="L146" i="196"/>
  <c r="D169" i="195"/>
  <c r="AE159" i="203"/>
  <c r="M146" i="196"/>
  <c r="AC160" i="203"/>
  <c r="U159" i="203"/>
  <c r="S160" i="203"/>
  <c r="R160" i="203"/>
  <c r="O146" i="196"/>
  <c r="F169" i="195"/>
  <c r="AB160" i="203"/>
  <c r="G169" i="195"/>
  <c r="H169" i="195"/>
  <c r="C169" i="195"/>
  <c r="E169" i="195"/>
  <c r="AD160" i="203" l="1"/>
  <c r="T160" i="203"/>
  <c r="AF159" i="203"/>
  <c r="AH159" i="203" s="1"/>
  <c r="V159" i="203"/>
  <c r="X159" i="203" s="1"/>
  <c r="AA161" i="203"/>
  <c r="Q161" i="203"/>
  <c r="AG160" i="203"/>
  <c r="AI160" i="203" s="1"/>
  <c r="W160" i="203"/>
  <c r="Y160" i="203" s="1"/>
  <c r="K147" i="196"/>
  <c r="A170" i="195"/>
  <c r="B170" i="195" s="1"/>
  <c r="N147" i="196"/>
  <c r="D170" i="195"/>
  <c r="O147" i="196"/>
  <c r="AC161" i="203"/>
  <c r="AB161" i="203"/>
  <c r="F170" i="195"/>
  <c r="S161" i="203"/>
  <c r="AE160" i="203"/>
  <c r="C170" i="195"/>
  <c r="L147" i="196"/>
  <c r="M147" i="196"/>
  <c r="E170" i="195"/>
  <c r="U160" i="203"/>
  <c r="R161" i="203"/>
  <c r="H170" i="195"/>
  <c r="G170" i="195"/>
  <c r="T161" i="203" l="1"/>
  <c r="AD161" i="203"/>
  <c r="V160" i="203"/>
  <c r="X160" i="203" s="1"/>
  <c r="AF160" i="203"/>
  <c r="AH160" i="203" s="1"/>
  <c r="Q162" i="203"/>
  <c r="AA162" i="203"/>
  <c r="AG161" i="203"/>
  <c r="AI161" i="203" s="1"/>
  <c r="W161" i="203"/>
  <c r="Y161" i="203" s="1"/>
  <c r="K148" i="196"/>
  <c r="A171" i="195"/>
  <c r="B171" i="195" s="1"/>
  <c r="G171" i="195"/>
  <c r="AB162" i="203"/>
  <c r="E171" i="195"/>
  <c r="D171" i="195"/>
  <c r="H171" i="195"/>
  <c r="C171" i="195"/>
  <c r="N148" i="196"/>
  <c r="AC162" i="203"/>
  <c r="R162" i="203"/>
  <c r="AE161" i="203"/>
  <c r="U161" i="203"/>
  <c r="O148" i="196"/>
  <c r="M148" i="196"/>
  <c r="S162" i="203"/>
  <c r="L148" i="196"/>
  <c r="F171" i="195"/>
  <c r="AD162" i="203" l="1"/>
  <c r="T162" i="203"/>
  <c r="AF161" i="203"/>
  <c r="AH161" i="203" s="1"/>
  <c r="V161" i="203"/>
  <c r="X161" i="203" s="1"/>
  <c r="AA163" i="203"/>
  <c r="Q163" i="203"/>
  <c r="AG162" i="203"/>
  <c r="AI162" i="203" s="1"/>
  <c r="W162" i="203"/>
  <c r="Y162" i="203" s="1"/>
  <c r="K149" i="196"/>
  <c r="A172" i="195"/>
  <c r="B172" i="195" s="1"/>
  <c r="L149" i="196"/>
  <c r="R163" i="203"/>
  <c r="G172" i="195"/>
  <c r="AB163" i="203"/>
  <c r="H172" i="195"/>
  <c r="S163" i="203"/>
  <c r="AC163" i="203"/>
  <c r="AE162" i="203"/>
  <c r="F172" i="195"/>
  <c r="N149" i="196"/>
  <c r="M149" i="196"/>
  <c r="C172" i="195"/>
  <c r="D172" i="195"/>
  <c r="U162" i="203"/>
  <c r="O149" i="196"/>
  <c r="E172" i="195"/>
  <c r="T163" i="203" l="1"/>
  <c r="V162" i="203"/>
  <c r="X162" i="203" s="1"/>
  <c r="AD163" i="203"/>
  <c r="AF162" i="203"/>
  <c r="AH162" i="203" s="1"/>
  <c r="Q164" i="203"/>
  <c r="AA164" i="203"/>
  <c r="AG163" i="203"/>
  <c r="AI163" i="203" s="1"/>
  <c r="W163" i="203"/>
  <c r="Y163" i="203" s="1"/>
  <c r="K150" i="196"/>
  <c r="C36" i="177"/>
  <c r="M150" i="196"/>
  <c r="AB164" i="203"/>
  <c r="G36" i="177"/>
  <c r="E36" i="177"/>
  <c r="S164" i="203"/>
  <c r="D36" i="177"/>
  <c r="AC164" i="203"/>
  <c r="H36" i="177"/>
  <c r="R164" i="203"/>
  <c r="N150" i="196"/>
  <c r="L150" i="196"/>
  <c r="U163" i="203"/>
  <c r="F36" i="177"/>
  <c r="O150" i="196"/>
  <c r="I36" i="177"/>
  <c r="AE163" i="203"/>
  <c r="AD164" i="203" l="1"/>
  <c r="T164" i="203"/>
  <c r="AF163" i="203"/>
  <c r="AH163" i="203" s="1"/>
  <c r="V163" i="203"/>
  <c r="X163" i="203" s="1"/>
  <c r="AA165" i="203"/>
  <c r="Q165" i="203"/>
  <c r="AG164" i="203"/>
  <c r="AI164" i="203" s="1"/>
  <c r="W164" i="203"/>
  <c r="Y164" i="203" s="1"/>
  <c r="K151" i="196"/>
  <c r="E42" i="177"/>
  <c r="G13" i="191"/>
  <c r="L151" i="196"/>
  <c r="AC165" i="203"/>
  <c r="M151" i="196"/>
  <c r="S165" i="203"/>
  <c r="R165" i="203"/>
  <c r="AB165" i="203"/>
  <c r="N151" i="196"/>
  <c r="AE164" i="203"/>
  <c r="C42" i="177"/>
  <c r="U164" i="203"/>
  <c r="I13" i="191"/>
  <c r="O151" i="196"/>
  <c r="T165" i="203" l="1"/>
  <c r="AD165" i="203"/>
  <c r="V164" i="203"/>
  <c r="X164" i="203" s="1"/>
  <c r="AF164" i="203"/>
  <c r="AH164" i="203" s="1"/>
  <c r="Q166" i="203"/>
  <c r="AA166" i="203"/>
  <c r="AG165" i="203"/>
  <c r="AI165" i="203" s="1"/>
  <c r="W165" i="203"/>
  <c r="Y165" i="203" s="1"/>
  <c r="K152" i="196"/>
  <c r="G28" i="191"/>
  <c r="G26" i="191"/>
  <c r="G24" i="191"/>
  <c r="G22" i="191"/>
  <c r="S4" i="191"/>
  <c r="AA6" i="191"/>
  <c r="Q6" i="191"/>
  <c r="U165" i="203"/>
  <c r="P9" i="191"/>
  <c r="N152" i="196"/>
  <c r="AB166" i="203"/>
  <c r="R166" i="203"/>
  <c r="AE165" i="203"/>
  <c r="I22" i="191"/>
  <c r="M152" i="196"/>
  <c r="AC166" i="203"/>
  <c r="E19" i="191"/>
  <c r="I26" i="191"/>
  <c r="Z9" i="191"/>
  <c r="V6" i="191"/>
  <c r="O152" i="196"/>
  <c r="L152" i="196"/>
  <c r="S166" i="203"/>
  <c r="I28" i="191"/>
  <c r="P10" i="191"/>
  <c r="I24" i="191"/>
  <c r="AF6" i="191"/>
  <c r="Z10" i="191"/>
  <c r="AD166" i="203" l="1"/>
  <c r="T166" i="203"/>
  <c r="AF165" i="203"/>
  <c r="AH165" i="203" s="1"/>
  <c r="V165" i="203"/>
  <c r="X165" i="203" s="1"/>
  <c r="AA167" i="203"/>
  <c r="Q167" i="203"/>
  <c r="R10" i="191"/>
  <c r="W166" i="203"/>
  <c r="Y166" i="203" s="1"/>
  <c r="AG166" i="203"/>
  <c r="AI166" i="203" s="1"/>
  <c r="K153" i="196"/>
  <c r="K26" i="191"/>
  <c r="K22" i="191"/>
  <c r="K28" i="191"/>
  <c r="K24" i="191"/>
  <c r="G19" i="191"/>
  <c r="AB10" i="191"/>
  <c r="AE166" i="203"/>
  <c r="AB167" i="203"/>
  <c r="M153" i="196"/>
  <c r="I19" i="191"/>
  <c r="R167" i="203"/>
  <c r="S167" i="203"/>
  <c r="O153" i="196"/>
  <c r="N153" i="196"/>
  <c r="AC167" i="203"/>
  <c r="U166" i="203"/>
  <c r="L153" i="196"/>
  <c r="T167" i="203" l="1"/>
  <c r="AD167" i="203"/>
  <c r="V166" i="203"/>
  <c r="X166" i="203" s="1"/>
  <c r="AF166" i="203"/>
  <c r="AH166" i="203" s="1"/>
  <c r="Q168" i="203"/>
  <c r="AA168" i="203"/>
  <c r="AG167" i="203"/>
  <c r="AI167" i="203" s="1"/>
  <c r="W167" i="203"/>
  <c r="Y167" i="203" s="1"/>
  <c r="K154" i="196"/>
  <c r="O11" i="191"/>
  <c r="Y11" i="191"/>
  <c r="R168" i="203"/>
  <c r="N154" i="196"/>
  <c r="Z11" i="191"/>
  <c r="M154" i="196"/>
  <c r="L154" i="196"/>
  <c r="AB168" i="203"/>
  <c r="S168" i="203"/>
  <c r="AE167" i="203"/>
  <c r="Q11" i="191"/>
  <c r="AC168" i="203"/>
  <c r="U167" i="203"/>
  <c r="P11" i="191"/>
  <c r="AA11" i="191"/>
  <c r="O154" i="196"/>
  <c r="AD168" i="203" l="1"/>
  <c r="AF167" i="203"/>
  <c r="AH167" i="203" s="1"/>
  <c r="T168" i="203"/>
  <c r="V167" i="203"/>
  <c r="X167" i="203" s="1"/>
  <c r="AA169" i="203"/>
  <c r="Q169" i="203"/>
  <c r="W168" i="203"/>
  <c r="Y168" i="203" s="1"/>
  <c r="AG168" i="203"/>
  <c r="AI168" i="203" s="1"/>
  <c r="K155" i="196"/>
  <c r="AB11" i="191"/>
  <c r="AC11" i="191" s="1"/>
  <c r="Y12" i="191"/>
  <c r="O12" i="191"/>
  <c r="G22" i="193"/>
  <c r="P10" i="193"/>
  <c r="F2" i="193"/>
  <c r="B2" i="193"/>
  <c r="AE168" i="203"/>
  <c r="P11" i="193"/>
  <c r="Q12" i="191"/>
  <c r="AA12" i="191"/>
  <c r="P12" i="191"/>
  <c r="M155" i="196"/>
  <c r="AC169" i="203"/>
  <c r="S169" i="203"/>
  <c r="P20" i="193"/>
  <c r="E19" i="193"/>
  <c r="N155" i="196"/>
  <c r="L155" i="196"/>
  <c r="AB169" i="203"/>
  <c r="O155" i="196"/>
  <c r="P21" i="193"/>
  <c r="I22" i="193"/>
  <c r="R169" i="203"/>
  <c r="U168" i="203"/>
  <c r="Z12" i="191"/>
  <c r="T169" i="203" l="1"/>
  <c r="AD169" i="203"/>
  <c r="V168" i="203"/>
  <c r="X168" i="203" s="1"/>
  <c r="AF168" i="203"/>
  <c r="AH168" i="203" s="1"/>
  <c r="Q170" i="203"/>
  <c r="AA170" i="203"/>
  <c r="W169" i="203"/>
  <c r="Y169" i="203" s="1"/>
  <c r="AG169" i="203"/>
  <c r="AI169" i="203" s="1"/>
  <c r="P23" i="193"/>
  <c r="T20" i="193"/>
  <c r="T11" i="193"/>
  <c r="P22" i="193"/>
  <c r="P25" i="193" s="1"/>
  <c r="L13" i="193"/>
  <c r="K13" i="193" s="1"/>
  <c r="J13" i="193"/>
  <c r="G19" i="193"/>
  <c r="P12" i="193"/>
  <c r="K156" i="196"/>
  <c r="AB12" i="191"/>
  <c r="AC12" i="191" s="1"/>
  <c r="Y13" i="191"/>
  <c r="O13" i="191"/>
  <c r="D16" i="193"/>
  <c r="K17" i="193"/>
  <c r="J17" i="193"/>
  <c r="I14" i="193"/>
  <c r="D21" i="193"/>
  <c r="Z13" i="191"/>
  <c r="N156" i="196"/>
  <c r="Q13" i="191"/>
  <c r="AB170" i="203"/>
  <c r="L156" i="196"/>
  <c r="U169" i="203"/>
  <c r="AE169" i="203"/>
  <c r="O156" i="196"/>
  <c r="R170" i="203"/>
  <c r="P13" i="191"/>
  <c r="S170" i="203"/>
  <c r="I19" i="193"/>
  <c r="AA13" i="191"/>
  <c r="AC170" i="203"/>
  <c r="M156" i="196"/>
  <c r="AD170" i="203" l="1"/>
  <c r="T170" i="203"/>
  <c r="AF169" i="203"/>
  <c r="AH169" i="203" s="1"/>
  <c r="V169" i="203"/>
  <c r="X169" i="203" s="1"/>
  <c r="AA171" i="203"/>
  <c r="Q171" i="203"/>
  <c r="W170" i="203"/>
  <c r="Y170" i="203" s="1"/>
  <c r="AG170" i="203"/>
  <c r="AI170" i="203" s="1"/>
  <c r="P37" i="193"/>
  <c r="P36" i="193"/>
  <c r="P28" i="193"/>
  <c r="T28" i="193" s="1"/>
  <c r="P27" i="193"/>
  <c r="T27" i="193" s="1"/>
  <c r="AE11" i="191"/>
  <c r="AG11" i="191" s="1"/>
  <c r="AD11" i="191"/>
  <c r="AF11" i="191" s="1"/>
  <c r="J19" i="193"/>
  <c r="L19" i="193"/>
  <c r="K19" i="193" s="1"/>
  <c r="P18" i="193" s="1"/>
  <c r="P13" i="193"/>
  <c r="P29" i="193"/>
  <c r="K157" i="196"/>
  <c r="AB13" i="191"/>
  <c r="AC13" i="191" s="1"/>
  <c r="K22" i="193"/>
  <c r="J22" i="193"/>
  <c r="Y14" i="191"/>
  <c r="O14" i="191"/>
  <c r="L17" i="193"/>
  <c r="F2" i="191"/>
  <c r="B2" i="191"/>
  <c r="L157" i="196"/>
  <c r="R171" i="203"/>
  <c r="P30" i="193"/>
  <c r="AA14" i="191"/>
  <c r="N157" i="196"/>
  <c r="O157" i="196"/>
  <c r="Q14" i="191"/>
  <c r="AE170" i="203"/>
  <c r="M157" i="196"/>
  <c r="S171" i="203"/>
  <c r="U170" i="203"/>
  <c r="AB171" i="203"/>
  <c r="AC171" i="203"/>
  <c r="Z14" i="191"/>
  <c r="P14" i="191"/>
  <c r="T171" i="203" l="1"/>
  <c r="AD171" i="203"/>
  <c r="V170" i="203"/>
  <c r="X170" i="203" s="1"/>
  <c r="AF170" i="203"/>
  <c r="AH170" i="203" s="1"/>
  <c r="Q172" i="203"/>
  <c r="AA172" i="203"/>
  <c r="W171" i="203"/>
  <c r="Y171" i="203" s="1"/>
  <c r="AG171" i="203"/>
  <c r="AI171" i="203" s="1"/>
  <c r="T38" i="193"/>
  <c r="O48" i="193"/>
  <c r="P32" i="193"/>
  <c r="AE12" i="191"/>
  <c r="AG12" i="191" s="1"/>
  <c r="AD12" i="191"/>
  <c r="AF12" i="191" s="1"/>
  <c r="L19" i="191"/>
  <c r="K19" i="191" s="1"/>
  <c r="L22" i="193"/>
  <c r="M22" i="193"/>
  <c r="K158" i="196"/>
  <c r="J26" i="191"/>
  <c r="J24" i="191"/>
  <c r="J22" i="191"/>
  <c r="J28" i="191"/>
  <c r="L28" i="191"/>
  <c r="L22" i="191"/>
  <c r="L26" i="191"/>
  <c r="L24" i="191"/>
  <c r="J19" i="191"/>
  <c r="L13" i="191"/>
  <c r="K13" i="191" s="1"/>
  <c r="J13" i="191"/>
  <c r="AB14" i="191"/>
  <c r="AC14" i="191" s="1"/>
  <c r="Y15" i="191"/>
  <c r="R14" i="191"/>
  <c r="S14" i="191" s="1"/>
  <c r="R12" i="191"/>
  <c r="S12" i="191" s="1"/>
  <c r="R13" i="191"/>
  <c r="S13" i="191" s="1"/>
  <c r="O15" i="191"/>
  <c r="R11" i="191"/>
  <c r="S11" i="191" s="1"/>
  <c r="D21" i="191"/>
  <c r="D16" i="191"/>
  <c r="K17" i="191"/>
  <c r="AD10" i="191" s="1"/>
  <c r="J17" i="191"/>
  <c r="I14" i="191"/>
  <c r="U171" i="203"/>
  <c r="N158" i="196"/>
  <c r="P48" i="193"/>
  <c r="P33" i="193"/>
  <c r="Q48" i="193"/>
  <c r="AB172" i="203"/>
  <c r="L158" i="196"/>
  <c r="P15" i="191"/>
  <c r="O158" i="196"/>
  <c r="S172" i="203"/>
  <c r="AC172" i="203"/>
  <c r="AE171" i="203"/>
  <c r="Z15" i="191"/>
  <c r="R172" i="203"/>
  <c r="Q15" i="191"/>
  <c r="AA15" i="191"/>
  <c r="M158" i="196"/>
  <c r="AD172" i="203" l="1"/>
  <c r="T172" i="203"/>
  <c r="AF171" i="203"/>
  <c r="AH171" i="203" s="1"/>
  <c r="V171" i="203"/>
  <c r="X171" i="203" s="1"/>
  <c r="AA173" i="203"/>
  <c r="Q173" i="203"/>
  <c r="W172" i="203"/>
  <c r="Y172" i="203" s="1"/>
  <c r="O47" i="193"/>
  <c r="O40" i="193"/>
  <c r="O43" i="193" s="1"/>
  <c r="AE13" i="191"/>
  <c r="AG13" i="191" s="1"/>
  <c r="AD13" i="191"/>
  <c r="AF13" i="191" s="1"/>
  <c r="R48" i="193"/>
  <c r="L24" i="188"/>
  <c r="K159" i="196"/>
  <c r="AD5" i="191"/>
  <c r="M22" i="191"/>
  <c r="M24" i="191"/>
  <c r="AB15" i="191"/>
  <c r="AC15" i="191" s="1"/>
  <c r="Y16" i="191"/>
  <c r="R15" i="191"/>
  <c r="S15" i="191" s="1"/>
  <c r="T10" i="191"/>
  <c r="T4" i="191" s="1"/>
  <c r="O16" i="191"/>
  <c r="L17" i="191"/>
  <c r="M26" i="191" s="1"/>
  <c r="N13" i="190"/>
  <c r="L99" i="188"/>
  <c r="O159" i="196"/>
  <c r="Q43" i="193"/>
  <c r="P47" i="193"/>
  <c r="P43" i="193"/>
  <c r="Z16" i="191"/>
  <c r="Q16" i="191"/>
  <c r="M159" i="196"/>
  <c r="AC173" i="203"/>
  <c r="N159" i="196"/>
  <c r="L159" i="196"/>
  <c r="Q47" i="193"/>
  <c r="U172" i="203"/>
  <c r="AB173" i="203"/>
  <c r="AA16" i="191"/>
  <c r="S48" i="193"/>
  <c r="P16" i="191"/>
  <c r="R173" i="203"/>
  <c r="S173" i="203"/>
  <c r="T173" i="203" l="1"/>
  <c r="AD173" i="203"/>
  <c r="V172" i="203"/>
  <c r="X172" i="203" s="1"/>
  <c r="Q174" i="203"/>
  <c r="AA174" i="203"/>
  <c r="AG172" i="203"/>
  <c r="AI172" i="203"/>
  <c r="W173" i="203"/>
  <c r="Y173" i="203" s="1"/>
  <c r="O41" i="193"/>
  <c r="O44" i="193"/>
  <c r="O45" i="193"/>
  <c r="R43" i="193"/>
  <c r="P51" i="193"/>
  <c r="R47" i="193"/>
  <c r="Q51" i="193"/>
  <c r="O42" i="193"/>
  <c r="U14" i="191"/>
  <c r="W14" i="191" s="1"/>
  <c r="T14" i="191"/>
  <c r="V14" i="191" s="1"/>
  <c r="U13" i="191"/>
  <c r="W13" i="191" s="1"/>
  <c r="T13" i="191"/>
  <c r="V13" i="191" s="1"/>
  <c r="AE14" i="191"/>
  <c r="AG14" i="191" s="1"/>
  <c r="AD14" i="191"/>
  <c r="AF14" i="191" s="1"/>
  <c r="U12" i="191"/>
  <c r="W12" i="191" s="1"/>
  <c r="T12" i="191"/>
  <c r="V12" i="191" s="1"/>
  <c r="U11" i="191"/>
  <c r="W11" i="191" s="1"/>
  <c r="T11" i="191"/>
  <c r="V11" i="191" s="1"/>
  <c r="K160" i="196"/>
  <c r="AD4" i="191"/>
  <c r="M28" i="191"/>
  <c r="AB16" i="191"/>
  <c r="AC16" i="191" s="1"/>
  <c r="V10" i="191"/>
  <c r="V4" i="191" s="1"/>
  <c r="AF10" i="191"/>
  <c r="Y17" i="191"/>
  <c r="R16" i="191"/>
  <c r="S16" i="191" s="1"/>
  <c r="O17" i="191"/>
  <c r="T48" i="193"/>
  <c r="P41" i="193"/>
  <c r="S43" i="193"/>
  <c r="P17" i="191"/>
  <c r="N160" i="196"/>
  <c r="O160" i="196"/>
  <c r="Q17" i="191"/>
  <c r="AE172" i="203"/>
  <c r="Z17" i="191"/>
  <c r="L160" i="196"/>
  <c r="R174" i="203"/>
  <c r="S174" i="203"/>
  <c r="M160" i="196"/>
  <c r="AB174" i="203"/>
  <c r="Q42" i="193"/>
  <c r="P44" i="193"/>
  <c r="AA17" i="191"/>
  <c r="AC174" i="203"/>
  <c r="Q44" i="193"/>
  <c r="Q45" i="193"/>
  <c r="Q41" i="193"/>
  <c r="U173" i="203"/>
  <c r="P42" i="193"/>
  <c r="P45" i="193"/>
  <c r="S47" i="193"/>
  <c r="AF172" i="203" l="1"/>
  <c r="AH172" i="203" s="1"/>
  <c r="T174" i="203"/>
  <c r="W174" i="203" s="1"/>
  <c r="Y174" i="203" s="1"/>
  <c r="AD174" i="203"/>
  <c r="V173" i="203"/>
  <c r="X173" i="203" s="1"/>
  <c r="Q175" i="203"/>
  <c r="AA175" i="203"/>
  <c r="AG173" i="203"/>
  <c r="AI173" i="203"/>
  <c r="R51" i="193"/>
  <c r="R52" i="193" s="1"/>
  <c r="R41" i="193"/>
  <c r="Q52" i="193"/>
  <c r="R45" i="193"/>
  <c r="R44" i="193"/>
  <c r="R42" i="193"/>
  <c r="T43" i="193"/>
  <c r="U43" i="193" s="1"/>
  <c r="AE15" i="191"/>
  <c r="AG15" i="191" s="1"/>
  <c r="AD15" i="191"/>
  <c r="AF15" i="191" s="1"/>
  <c r="U15" i="191"/>
  <c r="W15" i="191" s="1"/>
  <c r="T15" i="191"/>
  <c r="V15" i="191" s="1"/>
  <c r="U48" i="193"/>
  <c r="I40" i="188"/>
  <c r="L69" i="188"/>
  <c r="L39" i="188"/>
  <c r="L54" i="188"/>
  <c r="L84" i="188"/>
  <c r="K161" i="196"/>
  <c r="AF5" i="191"/>
  <c r="AF4" i="191"/>
  <c r="AB17" i="191"/>
  <c r="AC17" i="191" s="1"/>
  <c r="Y18" i="191"/>
  <c r="R17" i="191"/>
  <c r="S17" i="191" s="1"/>
  <c r="O18" i="191"/>
  <c r="L30" i="188"/>
  <c r="E32" i="190"/>
  <c r="G32" i="190"/>
  <c r="R175" i="203"/>
  <c r="P18" i="191"/>
  <c r="Q18" i="191"/>
  <c r="N161" i="196"/>
  <c r="O161" i="196"/>
  <c r="S45" i="193"/>
  <c r="U174" i="203"/>
  <c r="M161" i="196"/>
  <c r="S42" i="193"/>
  <c r="AA18" i="191"/>
  <c r="Z18" i="191"/>
  <c r="S175" i="203"/>
  <c r="AC175" i="203"/>
  <c r="AB175" i="203"/>
  <c r="AE173" i="203"/>
  <c r="L161" i="196"/>
  <c r="S44" i="193"/>
  <c r="S41" i="193"/>
  <c r="AF173" i="203" l="1"/>
  <c r="AH173" i="203" s="1"/>
  <c r="AD175" i="203"/>
  <c r="T175" i="203"/>
  <c r="V174" i="203"/>
  <c r="X174" i="203" s="1"/>
  <c r="AA176" i="203"/>
  <c r="Q176" i="203"/>
  <c r="AG174" i="203"/>
  <c r="AI174" i="203"/>
  <c r="W175" i="203"/>
  <c r="Y175" i="203" s="1"/>
  <c r="S51" i="193"/>
  <c r="S52" i="193" s="1"/>
  <c r="T47" i="193"/>
  <c r="U47" i="193" s="1"/>
  <c r="U51" i="193" s="1"/>
  <c r="U52" i="193" s="1"/>
  <c r="T41" i="193"/>
  <c r="U41" i="193" s="1"/>
  <c r="T44" i="193"/>
  <c r="U44" i="193" s="1"/>
  <c r="T45" i="193"/>
  <c r="U45" i="193" s="1"/>
  <c r="T42" i="193"/>
  <c r="U42" i="193" s="1"/>
  <c r="U16" i="191"/>
  <c r="W16" i="191" s="1"/>
  <c r="T16" i="191"/>
  <c r="V16" i="191" s="1"/>
  <c r="AE16" i="191"/>
  <c r="AG16" i="191" s="1"/>
  <c r="AD16" i="191"/>
  <c r="AF16" i="191" s="1"/>
  <c r="K162" i="196"/>
  <c r="AB18" i="191"/>
  <c r="AC18" i="191" s="1"/>
  <c r="Y19" i="191"/>
  <c r="R18" i="191"/>
  <c r="S18" i="191" s="1"/>
  <c r="O19" i="191"/>
  <c r="G62" i="190"/>
  <c r="E62" i="190"/>
  <c r="E47" i="190"/>
  <c r="I67" i="190"/>
  <c r="H67" i="190"/>
  <c r="I62" i="190"/>
  <c r="H62" i="190"/>
  <c r="I52" i="190"/>
  <c r="H52" i="190"/>
  <c r="I37" i="190"/>
  <c r="H37" i="190"/>
  <c r="I32" i="190"/>
  <c r="H32" i="190"/>
  <c r="L162" i="196"/>
  <c r="AA19" i="191"/>
  <c r="N162" i="196"/>
  <c r="E67" i="190"/>
  <c r="AC176" i="203"/>
  <c r="S176" i="203"/>
  <c r="P19" i="191"/>
  <c r="O162" i="196"/>
  <c r="G37" i="190"/>
  <c r="AB176" i="203"/>
  <c r="Z19" i="191"/>
  <c r="AE174" i="203"/>
  <c r="M162" i="196"/>
  <c r="R176" i="203"/>
  <c r="U175" i="203"/>
  <c r="Q19" i="191"/>
  <c r="E52" i="190"/>
  <c r="T176" i="203" l="1"/>
  <c r="W176" i="203" s="1"/>
  <c r="Y176" i="203" s="1"/>
  <c r="AD176" i="203"/>
  <c r="V175" i="203"/>
  <c r="X175" i="203" s="1"/>
  <c r="AF174" i="203"/>
  <c r="AH174" i="203" s="1"/>
  <c r="Q177" i="203"/>
  <c r="AA177" i="203"/>
  <c r="AG175" i="203"/>
  <c r="AI175" i="203"/>
  <c r="T51" i="193"/>
  <c r="T52" i="193" s="1"/>
  <c r="T50" i="193"/>
  <c r="AE17" i="191"/>
  <c r="AG17" i="191" s="1"/>
  <c r="AD17" i="191"/>
  <c r="AF17" i="191" s="1"/>
  <c r="U17" i="191"/>
  <c r="W17" i="191" s="1"/>
  <c r="T17" i="191"/>
  <c r="V17" i="191" s="1"/>
  <c r="K163" i="196"/>
  <c r="AB19" i="191"/>
  <c r="AC19" i="191" s="1"/>
  <c r="Y20" i="191"/>
  <c r="R19" i="191"/>
  <c r="S19" i="191" s="1"/>
  <c r="O20" i="191"/>
  <c r="N19" i="190"/>
  <c r="E97" i="190"/>
  <c r="E82" i="190"/>
  <c r="G67" i="190"/>
  <c r="G52" i="190"/>
  <c r="E37" i="190"/>
  <c r="E22" i="190"/>
  <c r="F2" i="190"/>
  <c r="B2" i="190"/>
  <c r="G49" i="190"/>
  <c r="AA20" i="191"/>
  <c r="M163" i="196"/>
  <c r="G34" i="190"/>
  <c r="Z20" i="191"/>
  <c r="Q20" i="191"/>
  <c r="K97" i="190"/>
  <c r="K22" i="190"/>
  <c r="AC177" i="203"/>
  <c r="L163" i="196"/>
  <c r="O163" i="196"/>
  <c r="K37" i="190"/>
  <c r="G19" i="190"/>
  <c r="K67" i="190"/>
  <c r="U176" i="203"/>
  <c r="R177" i="203"/>
  <c r="K82" i="190"/>
  <c r="N163" i="196"/>
  <c r="G94" i="190"/>
  <c r="AB177" i="203"/>
  <c r="AE175" i="203"/>
  <c r="P20" i="191"/>
  <c r="S177" i="203"/>
  <c r="G64" i="190"/>
  <c r="G79" i="190"/>
  <c r="K52" i="190"/>
  <c r="AF175" i="203" l="1"/>
  <c r="AH175" i="203" s="1"/>
  <c r="AD177" i="203"/>
  <c r="T177" i="203"/>
  <c r="W177" i="203" s="1"/>
  <c r="Y177" i="203" s="1"/>
  <c r="AA178" i="203"/>
  <c r="Q178" i="203"/>
  <c r="V176" i="203"/>
  <c r="X176" i="203" s="1"/>
  <c r="AG176" i="203"/>
  <c r="AI176" i="203"/>
  <c r="P54" i="193"/>
  <c r="S53" i="193"/>
  <c r="Q53" i="193"/>
  <c r="R53" i="193"/>
  <c r="T53" i="193"/>
  <c r="U53" i="193"/>
  <c r="AE18" i="191"/>
  <c r="AG18" i="191" s="1"/>
  <c r="AD18" i="191"/>
  <c r="AF18" i="191" s="1"/>
  <c r="U18" i="191"/>
  <c r="W18" i="191" s="1"/>
  <c r="T18" i="191"/>
  <c r="V18" i="191" s="1"/>
  <c r="K29" i="190"/>
  <c r="K14" i="190"/>
  <c r="K164" i="196"/>
  <c r="AB20" i="191"/>
  <c r="AC20" i="191" s="1"/>
  <c r="Y21" i="191"/>
  <c r="R20" i="191"/>
  <c r="S20" i="191" s="1"/>
  <c r="O21" i="191"/>
  <c r="N94" i="190"/>
  <c r="M94" i="190" s="1"/>
  <c r="N79" i="190"/>
  <c r="M79" i="190" s="1"/>
  <c r="M13" i="190"/>
  <c r="N58" i="190"/>
  <c r="M58" i="190" s="1"/>
  <c r="N73" i="190"/>
  <c r="M73" i="190" s="1"/>
  <c r="N88" i="190"/>
  <c r="M88" i="190" s="1"/>
  <c r="N64" i="190"/>
  <c r="M64" i="190" s="1"/>
  <c r="N49" i="190"/>
  <c r="M49" i="190" s="1"/>
  <c r="N28" i="190"/>
  <c r="M28" i="190" s="1"/>
  <c r="N34" i="190"/>
  <c r="M34" i="190" s="1"/>
  <c r="N43" i="190"/>
  <c r="M43" i="190" s="1"/>
  <c r="M19" i="190"/>
  <c r="D36" i="190"/>
  <c r="D81" i="190"/>
  <c r="D21" i="190"/>
  <c r="D96" i="190"/>
  <c r="D46" i="190"/>
  <c r="D31" i="190"/>
  <c r="D61" i="190"/>
  <c r="D16" i="190"/>
  <c r="D91" i="190"/>
  <c r="D76" i="190"/>
  <c r="D66" i="190"/>
  <c r="D51" i="190"/>
  <c r="K59" i="190"/>
  <c r="K74" i="190"/>
  <c r="K44" i="190"/>
  <c r="K89" i="190"/>
  <c r="M32" i="190"/>
  <c r="N32" i="190" s="1"/>
  <c r="L32" i="190"/>
  <c r="M92" i="190"/>
  <c r="N92" i="190" s="1"/>
  <c r="L92" i="190"/>
  <c r="M47" i="190"/>
  <c r="N47" i="190" s="1"/>
  <c r="L47" i="190"/>
  <c r="L17" i="190"/>
  <c r="M17" i="190"/>
  <c r="N17" i="190" s="1"/>
  <c r="L77" i="190"/>
  <c r="M77" i="190"/>
  <c r="N77" i="190" s="1"/>
  <c r="L62" i="190"/>
  <c r="M62" i="190"/>
  <c r="N62" i="190" s="1"/>
  <c r="AE176" i="203"/>
  <c r="AC178" i="203"/>
  <c r="R178" i="203"/>
  <c r="L164" i="196"/>
  <c r="U177" i="203"/>
  <c r="N164" i="196"/>
  <c r="M164" i="196"/>
  <c r="AB178" i="203"/>
  <c r="O164" i="196"/>
  <c r="S178" i="203"/>
  <c r="AA21" i="191"/>
  <c r="Z21" i="191"/>
  <c r="Q21" i="191"/>
  <c r="P21" i="191"/>
  <c r="T178" i="203" l="1"/>
  <c r="AD178" i="203"/>
  <c r="AF176" i="203"/>
  <c r="AH176" i="203" s="1"/>
  <c r="V177" i="203"/>
  <c r="X177" i="203" s="1"/>
  <c r="Q179" i="203"/>
  <c r="AA179" i="203"/>
  <c r="AG177" i="203"/>
  <c r="AI177" i="203"/>
  <c r="W178" i="203"/>
  <c r="Y178" i="203" s="1"/>
  <c r="AE19" i="191"/>
  <c r="AG19" i="191" s="1"/>
  <c r="AD19" i="191"/>
  <c r="AF19" i="191" s="1"/>
  <c r="U19" i="191"/>
  <c r="W19" i="191" s="1"/>
  <c r="T19" i="191"/>
  <c r="V19" i="191" s="1"/>
  <c r="K23" i="190"/>
  <c r="K165" i="196"/>
  <c r="AB21" i="191"/>
  <c r="AC21" i="191" s="1"/>
  <c r="Y22" i="191"/>
  <c r="R21" i="191"/>
  <c r="S21" i="191" s="1"/>
  <c r="O22" i="191"/>
  <c r="M52" i="190"/>
  <c r="N52" i="190" s="1"/>
  <c r="L52" i="190"/>
  <c r="L29" i="190"/>
  <c r="M67" i="190"/>
  <c r="N67" i="190" s="1"/>
  <c r="L67" i="190"/>
  <c r="N89" i="190"/>
  <c r="L82" i="190"/>
  <c r="M82" i="190"/>
  <c r="N82" i="190" s="1"/>
  <c r="L59" i="190"/>
  <c r="L22" i="190"/>
  <c r="M22" i="190"/>
  <c r="N22" i="190" s="1"/>
  <c r="L37" i="190"/>
  <c r="L38" i="190" s="1"/>
  <c r="M37" i="190"/>
  <c r="N37" i="190" s="1"/>
  <c r="L97" i="190"/>
  <c r="M97" i="190"/>
  <c r="N97" i="190" s="1"/>
  <c r="S179" i="203"/>
  <c r="AC179" i="203"/>
  <c r="Q22" i="191"/>
  <c r="R179" i="203"/>
  <c r="U178" i="203"/>
  <c r="M165" i="196"/>
  <c r="O165" i="196"/>
  <c r="Z22" i="191"/>
  <c r="AB179" i="203"/>
  <c r="AE177" i="203"/>
  <c r="L165" i="196"/>
  <c r="AA22" i="191"/>
  <c r="N165" i="196"/>
  <c r="P22" i="191"/>
  <c r="AD179" i="203" l="1"/>
  <c r="T179" i="203"/>
  <c r="AF177" i="203"/>
  <c r="AH177" i="203" s="1"/>
  <c r="V178" i="203"/>
  <c r="X178" i="203" s="1"/>
  <c r="AA180" i="203"/>
  <c r="Q180" i="203"/>
  <c r="AI178" i="203"/>
  <c r="AG178" i="203"/>
  <c r="AE20" i="191"/>
  <c r="AG20" i="191" s="1"/>
  <c r="AD20" i="191"/>
  <c r="AF20" i="191" s="1"/>
  <c r="U20" i="191"/>
  <c r="W20" i="191" s="1"/>
  <c r="T20" i="191"/>
  <c r="V20" i="191" s="1"/>
  <c r="K166" i="196"/>
  <c r="AB22" i="191"/>
  <c r="AC22" i="191" s="1"/>
  <c r="Y23" i="191"/>
  <c r="R22" i="191"/>
  <c r="S22" i="191" s="1"/>
  <c r="O23" i="191"/>
  <c r="E108" i="188"/>
  <c r="E93" i="188"/>
  <c r="G78" i="188"/>
  <c r="G63" i="188"/>
  <c r="E48" i="188"/>
  <c r="E33" i="188"/>
  <c r="F2" i="188"/>
  <c r="B2" i="188"/>
  <c r="Q23" i="191"/>
  <c r="S180" i="203"/>
  <c r="AA23" i="191"/>
  <c r="AC180" i="203"/>
  <c r="G30" i="188"/>
  <c r="O166" i="196"/>
  <c r="I48" i="188"/>
  <c r="AE178" i="203"/>
  <c r="I93" i="188"/>
  <c r="R180" i="203"/>
  <c r="M166" i="196"/>
  <c r="L166" i="196"/>
  <c r="I78" i="188"/>
  <c r="G90" i="188"/>
  <c r="I108" i="188"/>
  <c r="G105" i="188"/>
  <c r="Z23" i="191"/>
  <c r="I33" i="188"/>
  <c r="P23" i="191"/>
  <c r="G45" i="188"/>
  <c r="AB180" i="203"/>
  <c r="N166" i="196"/>
  <c r="I63" i="188"/>
  <c r="AF178" i="203" l="1"/>
  <c r="AH178" i="203" s="1"/>
  <c r="T180" i="203"/>
  <c r="AD180" i="203"/>
  <c r="Q181" i="203"/>
  <c r="AA181" i="203"/>
  <c r="Y179" i="203"/>
  <c r="W179" i="203"/>
  <c r="AG179" i="203"/>
  <c r="AI179" i="203"/>
  <c r="L75" i="188"/>
  <c r="K75" i="188" s="1"/>
  <c r="AE21" i="191"/>
  <c r="AG21" i="191" s="1"/>
  <c r="AD21" i="191"/>
  <c r="AF21" i="191" s="1"/>
  <c r="U21" i="191"/>
  <c r="W21" i="191" s="1"/>
  <c r="T21" i="191"/>
  <c r="V21" i="191" s="1"/>
  <c r="K24" i="188"/>
  <c r="I55" i="188"/>
  <c r="L60" i="188"/>
  <c r="K60" i="188" s="1"/>
  <c r="I25" i="188"/>
  <c r="I100" i="188"/>
  <c r="I85" i="188"/>
  <c r="I34" i="188"/>
  <c r="K167" i="196"/>
  <c r="AB23" i="191"/>
  <c r="AC23" i="191" s="1"/>
  <c r="Y24" i="191"/>
  <c r="R23" i="191"/>
  <c r="S23" i="191" s="1"/>
  <c r="O24" i="191"/>
  <c r="K84" i="188"/>
  <c r="K54" i="188"/>
  <c r="K39" i="188"/>
  <c r="K69" i="188"/>
  <c r="K99" i="188"/>
  <c r="L105" i="188"/>
  <c r="K105" i="188" s="1"/>
  <c r="L90" i="188"/>
  <c r="K90" i="188" s="1"/>
  <c r="L45" i="188"/>
  <c r="K45" i="188" s="1"/>
  <c r="K30" i="188"/>
  <c r="K28" i="188"/>
  <c r="L28" i="188" s="1"/>
  <c r="J28" i="188"/>
  <c r="D32" i="188"/>
  <c r="D47" i="188"/>
  <c r="D92" i="188"/>
  <c r="D107" i="188"/>
  <c r="D87" i="188"/>
  <c r="D16" i="188"/>
  <c r="D102" i="188"/>
  <c r="D13" i="188"/>
  <c r="D42" i="188"/>
  <c r="D27" i="188"/>
  <c r="D72" i="188"/>
  <c r="D57" i="188"/>
  <c r="D77" i="188"/>
  <c r="D62" i="188"/>
  <c r="E19" i="188"/>
  <c r="J43" i="188"/>
  <c r="K43" i="188"/>
  <c r="L43" i="188" s="1"/>
  <c r="J103" i="188"/>
  <c r="K103" i="188"/>
  <c r="L103" i="188" s="1"/>
  <c r="G17" i="188"/>
  <c r="K58" i="188"/>
  <c r="L58" i="188" s="1"/>
  <c r="J58" i="188"/>
  <c r="K88" i="188"/>
  <c r="L88" i="188" s="1"/>
  <c r="J88" i="188"/>
  <c r="K73" i="188"/>
  <c r="L73" i="188" s="1"/>
  <c r="J73" i="188"/>
  <c r="Q24" i="191"/>
  <c r="P24" i="191"/>
  <c r="AC181" i="203"/>
  <c r="U179" i="203"/>
  <c r="L167" i="196"/>
  <c r="AB181" i="203"/>
  <c r="N167" i="196"/>
  <c r="G19" i="188"/>
  <c r="AA24" i="191"/>
  <c r="M167" i="196"/>
  <c r="Z24" i="191"/>
  <c r="S181" i="203"/>
  <c r="O167" i="196"/>
  <c r="AE179" i="203"/>
  <c r="R181" i="203"/>
  <c r="V179" i="203" l="1"/>
  <c r="X179" i="203" s="1"/>
  <c r="AD181" i="203"/>
  <c r="T181" i="203"/>
  <c r="AF179" i="203"/>
  <c r="AH179" i="203" s="1"/>
  <c r="AA182" i="203"/>
  <c r="Q182" i="203"/>
  <c r="AI180" i="203"/>
  <c r="AG180" i="203"/>
  <c r="Y180" i="203"/>
  <c r="W180" i="203"/>
  <c r="AE22" i="191"/>
  <c r="AG22" i="191" s="1"/>
  <c r="AD22" i="191"/>
  <c r="AF22" i="191" s="1"/>
  <c r="U22" i="191"/>
  <c r="W22" i="191" s="1"/>
  <c r="T22" i="191"/>
  <c r="V22" i="191" s="1"/>
  <c r="J70" i="188"/>
  <c r="I64" i="188"/>
  <c r="K168" i="196"/>
  <c r="AB24" i="191"/>
  <c r="AC24" i="191" s="1"/>
  <c r="Y25" i="191"/>
  <c r="R24" i="191"/>
  <c r="S24" i="191" s="1"/>
  <c r="O25" i="191"/>
  <c r="J40" i="188"/>
  <c r="L100" i="188"/>
  <c r="K33" i="188"/>
  <c r="L33" i="188" s="1"/>
  <c r="J33" i="188"/>
  <c r="K48" i="188"/>
  <c r="L48" i="188" s="1"/>
  <c r="J48" i="188"/>
  <c r="J49" i="188" s="1"/>
  <c r="J78" i="188"/>
  <c r="J79" i="188" s="1"/>
  <c r="K78" i="188"/>
  <c r="L78" i="188" s="1"/>
  <c r="J63" i="188"/>
  <c r="K63" i="188"/>
  <c r="L63" i="188" s="1"/>
  <c r="K108" i="188"/>
  <c r="L108" i="188" s="1"/>
  <c r="L109" i="188" s="1"/>
  <c r="J108" i="188"/>
  <c r="K93" i="188"/>
  <c r="J93" i="188"/>
  <c r="F2" i="185"/>
  <c r="B2" i="185"/>
  <c r="D27" i="184"/>
  <c r="J27" i="184"/>
  <c r="U180" i="203"/>
  <c r="P25" i="191"/>
  <c r="AB182" i="203"/>
  <c r="AA25" i="191"/>
  <c r="R182" i="203"/>
  <c r="S182" i="203"/>
  <c r="M168" i="196"/>
  <c r="O168" i="196"/>
  <c r="Z25" i="191"/>
  <c r="N168" i="196"/>
  <c r="AE180" i="203"/>
  <c r="Q25" i="191"/>
  <c r="L168" i="196"/>
  <c r="AC182" i="203"/>
  <c r="AF180" i="203" l="1"/>
  <c r="AH180" i="203" s="1"/>
  <c r="T182" i="203"/>
  <c r="AD182" i="203"/>
  <c r="V180" i="203"/>
  <c r="X180" i="203" s="1"/>
  <c r="Q183" i="203"/>
  <c r="AA183" i="203"/>
  <c r="Y181" i="203"/>
  <c r="W181" i="203"/>
  <c r="AI181" i="203"/>
  <c r="AG181" i="203"/>
  <c r="AE23" i="191"/>
  <c r="AG23" i="191" s="1"/>
  <c r="AD23" i="191"/>
  <c r="AF23" i="191" s="1"/>
  <c r="U23" i="191"/>
  <c r="W23" i="191" s="1"/>
  <c r="T23" i="191"/>
  <c r="V23" i="191" s="1"/>
  <c r="L93" i="188"/>
  <c r="K94" i="188"/>
  <c r="K169" i="196"/>
  <c r="AB25" i="191"/>
  <c r="AC25" i="191" s="1"/>
  <c r="Y26" i="191"/>
  <c r="R25" i="191"/>
  <c r="S25" i="191" s="1"/>
  <c r="O26" i="191"/>
  <c r="G33" i="184"/>
  <c r="AE181" i="203"/>
  <c r="AC183" i="203"/>
  <c r="R183" i="203"/>
  <c r="AA26" i="191"/>
  <c r="P26" i="191"/>
  <c r="U181" i="203"/>
  <c r="S183" i="203"/>
  <c r="N169" i="196"/>
  <c r="AB183" i="203"/>
  <c r="Q26" i="191"/>
  <c r="L169" i="196"/>
  <c r="M169" i="196"/>
  <c r="O169" i="196"/>
  <c r="Z26" i="191"/>
  <c r="T183" i="203" l="1"/>
  <c r="V181" i="203"/>
  <c r="X181" i="203" s="1"/>
  <c r="AD183" i="203"/>
  <c r="AF181" i="203"/>
  <c r="AH181" i="203" s="1"/>
  <c r="Q184" i="203"/>
  <c r="AA184" i="203"/>
  <c r="AG182" i="203"/>
  <c r="AI182" i="203"/>
  <c r="W182" i="203"/>
  <c r="Y182" i="203"/>
  <c r="U24" i="191"/>
  <c r="W24" i="191" s="1"/>
  <c r="T24" i="191"/>
  <c r="V24" i="191" s="1"/>
  <c r="AE24" i="191"/>
  <c r="AG24" i="191" s="1"/>
  <c r="AD24" i="191"/>
  <c r="AF24" i="191" s="1"/>
  <c r="K170" i="196"/>
  <c r="AB26" i="191"/>
  <c r="AC26" i="191" s="1"/>
  <c r="Y27" i="191"/>
  <c r="R26" i="191"/>
  <c r="S26" i="191" s="1"/>
  <c r="O27" i="191"/>
  <c r="G20" i="184"/>
  <c r="F2" i="184"/>
  <c r="B2" i="184"/>
  <c r="U182" i="203"/>
  <c r="AC184" i="203"/>
  <c r="AB184" i="203"/>
  <c r="AA27" i="191"/>
  <c r="O170" i="196"/>
  <c r="Z27" i="191"/>
  <c r="R184" i="203"/>
  <c r="P27" i="191"/>
  <c r="AE182" i="203"/>
  <c r="N170" i="196"/>
  <c r="M170" i="196"/>
  <c r="S184" i="203"/>
  <c r="Q27" i="191"/>
  <c r="L170" i="196"/>
  <c r="AD184" i="203" l="1"/>
  <c r="T184" i="203"/>
  <c r="AF182" i="203"/>
  <c r="AH182" i="203" s="1"/>
  <c r="V182" i="203"/>
  <c r="X182" i="203" s="1"/>
  <c r="AA185" i="203"/>
  <c r="Q185" i="203"/>
  <c r="AI183" i="203"/>
  <c r="AG183" i="203"/>
  <c r="W183" i="203"/>
  <c r="Y183" i="203"/>
  <c r="AE25" i="191"/>
  <c r="AG25" i="191" s="1"/>
  <c r="AD25" i="191"/>
  <c r="AF25" i="191" s="1"/>
  <c r="U25" i="191"/>
  <c r="W25" i="191" s="1"/>
  <c r="T25" i="191"/>
  <c r="V25" i="191" s="1"/>
  <c r="K171" i="196"/>
  <c r="AB27" i="191"/>
  <c r="AC27" i="191" s="1"/>
  <c r="Y28" i="191"/>
  <c r="R27" i="191"/>
  <c r="S27" i="191" s="1"/>
  <c r="O28" i="191"/>
  <c r="Q28" i="191"/>
  <c r="AE183" i="203"/>
  <c r="S185" i="203"/>
  <c r="P28" i="191"/>
  <c r="Z28" i="191"/>
  <c r="N171" i="196"/>
  <c r="O171" i="196"/>
  <c r="M171" i="196"/>
  <c r="AC185" i="203"/>
  <c r="AB185" i="203"/>
  <c r="L171" i="196"/>
  <c r="AA28" i="191"/>
  <c r="R185" i="203"/>
  <c r="U183" i="203"/>
  <c r="AF183" i="203" l="1"/>
  <c r="AH183" i="203" s="1"/>
  <c r="T185" i="203"/>
  <c r="AD185" i="203"/>
  <c r="V183" i="203"/>
  <c r="X183" i="203" s="1"/>
  <c r="Q186" i="203"/>
  <c r="AA186" i="203"/>
  <c r="W184" i="203"/>
  <c r="Y184" i="203"/>
  <c r="AG184" i="203"/>
  <c r="AI184" i="203"/>
  <c r="AE26" i="191"/>
  <c r="AG26" i="191" s="1"/>
  <c r="AD26" i="191"/>
  <c r="AF26" i="191" s="1"/>
  <c r="U26" i="191"/>
  <c r="W26" i="191" s="1"/>
  <c r="T26" i="191"/>
  <c r="V26" i="191" s="1"/>
  <c r="K172" i="196"/>
  <c r="AB28" i="191"/>
  <c r="AC28" i="191" s="1"/>
  <c r="Y29" i="191"/>
  <c r="R28" i="191"/>
  <c r="S28" i="191" s="1"/>
  <c r="O29" i="191"/>
  <c r="AE184" i="203"/>
  <c r="U184" i="203"/>
  <c r="R186" i="203"/>
  <c r="P29" i="191"/>
  <c r="Z29" i="191"/>
  <c r="AC186" i="203"/>
  <c r="Q29" i="191"/>
  <c r="O172" i="196"/>
  <c r="L172" i="196"/>
  <c r="AA29" i="191"/>
  <c r="S186" i="203"/>
  <c r="M172" i="196"/>
  <c r="AB186" i="203"/>
  <c r="N172" i="196"/>
  <c r="V184" i="203" l="1"/>
  <c r="X184" i="203" s="1"/>
  <c r="AD186" i="203"/>
  <c r="T186" i="203"/>
  <c r="AF184" i="203"/>
  <c r="AH184" i="203" s="1"/>
  <c r="AA187" i="203"/>
  <c r="Q187" i="203"/>
  <c r="AI185" i="203"/>
  <c r="AG185" i="203"/>
  <c r="W185" i="203"/>
  <c r="Y185" i="203"/>
  <c r="AE27" i="191"/>
  <c r="AG27" i="191" s="1"/>
  <c r="AD27" i="191"/>
  <c r="AF27" i="191" s="1"/>
  <c r="U27" i="191"/>
  <c r="W27" i="191" s="1"/>
  <c r="T27" i="191"/>
  <c r="V27" i="191" s="1"/>
  <c r="K173" i="196"/>
  <c r="AB29" i="191"/>
  <c r="AC29" i="191" s="1"/>
  <c r="Y30" i="191"/>
  <c r="R29" i="191"/>
  <c r="S29" i="191" s="1"/>
  <c r="O30" i="191"/>
  <c r="F2" i="177"/>
  <c r="B2" i="177"/>
  <c r="AA30" i="191"/>
  <c r="S187" i="203"/>
  <c r="L173" i="196"/>
  <c r="R187" i="203"/>
  <c r="P30" i="191"/>
  <c r="Z30" i="191"/>
  <c r="M173" i="196"/>
  <c r="N173" i="196"/>
  <c r="Q30" i="191"/>
  <c r="AB187" i="203"/>
  <c r="O173" i="196"/>
  <c r="AC187" i="203"/>
  <c r="U185" i="203"/>
  <c r="AE185" i="203"/>
  <c r="T187" i="203" l="1"/>
  <c r="AF185" i="203"/>
  <c r="AH185" i="203" s="1"/>
  <c r="AD187" i="203"/>
  <c r="V185" i="203"/>
  <c r="X185" i="203" s="1"/>
  <c r="Q188" i="203"/>
  <c r="AA188" i="203"/>
  <c r="W186" i="203"/>
  <c r="Y186" i="203"/>
  <c r="AI186" i="203"/>
  <c r="AG186" i="203"/>
  <c r="AE28" i="191"/>
  <c r="AG28" i="191" s="1"/>
  <c r="AD28" i="191"/>
  <c r="AF28" i="191" s="1"/>
  <c r="U28" i="191"/>
  <c r="W28" i="191" s="1"/>
  <c r="T28" i="191"/>
  <c r="V28" i="191" s="1"/>
  <c r="K174" i="196"/>
  <c r="AB30" i="191"/>
  <c r="AC30" i="191" s="1"/>
  <c r="Y31" i="191"/>
  <c r="R30" i="191"/>
  <c r="S30" i="191" s="1"/>
  <c r="O31" i="191"/>
  <c r="Q31" i="191"/>
  <c r="O174" i="196"/>
  <c r="L174" i="196"/>
  <c r="Z31" i="191"/>
  <c r="AC188" i="203"/>
  <c r="P31" i="191"/>
  <c r="N174" i="196"/>
  <c r="AA31" i="191"/>
  <c r="AB188" i="203"/>
  <c r="M174" i="196"/>
  <c r="U186" i="203"/>
  <c r="S188" i="203"/>
  <c r="R188" i="203"/>
  <c r="AE186" i="203"/>
  <c r="V186" i="203" l="1"/>
  <c r="X186" i="203" s="1"/>
  <c r="AD188" i="203"/>
  <c r="AF186" i="203"/>
  <c r="AH186" i="203" s="1"/>
  <c r="T188" i="203"/>
  <c r="AA189" i="203"/>
  <c r="AI187" i="203"/>
  <c r="AG187" i="203"/>
  <c r="Q189" i="203"/>
  <c r="Y187" i="203"/>
  <c r="W187" i="203"/>
  <c r="AE29" i="191"/>
  <c r="AG29" i="191" s="1"/>
  <c r="AD29" i="191"/>
  <c r="AF29" i="191" s="1"/>
  <c r="U29" i="191"/>
  <c r="W29" i="191" s="1"/>
  <c r="T29" i="191"/>
  <c r="V29" i="191" s="1"/>
  <c r="K175" i="196"/>
  <c r="AB31" i="191"/>
  <c r="AC31" i="191" s="1"/>
  <c r="Y32" i="191"/>
  <c r="R31" i="191"/>
  <c r="S31" i="191" s="1"/>
  <c r="O32" i="191"/>
  <c r="Z32" i="191"/>
  <c r="N175" i="196"/>
  <c r="U187" i="203"/>
  <c r="AB189" i="203"/>
  <c r="M175" i="196"/>
  <c r="AE187" i="203"/>
  <c r="P32" i="191"/>
  <c r="Q32" i="191"/>
  <c r="AC189" i="203"/>
  <c r="O175" i="196"/>
  <c r="S189" i="203"/>
  <c r="R189" i="203"/>
  <c r="L175" i="196"/>
  <c r="AA32" i="191"/>
  <c r="AF187" i="203" l="1"/>
  <c r="AH187" i="203" s="1"/>
  <c r="AD189" i="203"/>
  <c r="V187" i="203"/>
  <c r="X187" i="203" s="1"/>
  <c r="T189" i="203"/>
  <c r="AA190" i="203"/>
  <c r="W188" i="203"/>
  <c r="Y188" i="203"/>
  <c r="AG188" i="203"/>
  <c r="AI188" i="203"/>
  <c r="Q190" i="203"/>
  <c r="AE30" i="191"/>
  <c r="AG30" i="191" s="1"/>
  <c r="AD30" i="191"/>
  <c r="AF30" i="191" s="1"/>
  <c r="U30" i="191"/>
  <c r="W30" i="191" s="1"/>
  <c r="T30" i="191"/>
  <c r="V30" i="191" s="1"/>
  <c r="K176" i="196"/>
  <c r="AB32" i="191"/>
  <c r="AC32" i="191" s="1"/>
  <c r="Y33" i="191"/>
  <c r="R32" i="191"/>
  <c r="S32" i="191" s="1"/>
  <c r="O33" i="191"/>
  <c r="N176" i="196"/>
  <c r="U188" i="203"/>
  <c r="Z33" i="191"/>
  <c r="AC190" i="203"/>
  <c r="O176" i="196"/>
  <c r="L176" i="196"/>
  <c r="AB190" i="203"/>
  <c r="P33" i="191"/>
  <c r="S190" i="203"/>
  <c r="AE188" i="203"/>
  <c r="R190" i="203"/>
  <c r="M176" i="196"/>
  <c r="Q33" i="191"/>
  <c r="AA33" i="191"/>
  <c r="V188" i="203" l="1"/>
  <c r="X188" i="203" s="1"/>
  <c r="T190" i="203"/>
  <c r="AD190" i="203"/>
  <c r="AF188" i="203"/>
  <c r="AH188" i="203" s="1"/>
  <c r="Q191" i="203"/>
  <c r="Y189" i="203"/>
  <c r="W189" i="203"/>
  <c r="AA191" i="203"/>
  <c r="AI189" i="203"/>
  <c r="AG189" i="203"/>
  <c r="AE31" i="191"/>
  <c r="AG31" i="191" s="1"/>
  <c r="AD31" i="191"/>
  <c r="AF31" i="191" s="1"/>
  <c r="U31" i="191"/>
  <c r="W31" i="191" s="1"/>
  <c r="T31" i="191"/>
  <c r="V31" i="191" s="1"/>
  <c r="K177" i="196"/>
  <c r="AB33" i="191"/>
  <c r="AC33" i="191" s="1"/>
  <c r="Y34" i="191"/>
  <c r="R33" i="191"/>
  <c r="S33" i="191" s="1"/>
  <c r="O34" i="191"/>
  <c r="M177" i="196"/>
  <c r="L177" i="196"/>
  <c r="AA34" i="191"/>
  <c r="AE189" i="203"/>
  <c r="Q34" i="191"/>
  <c r="P34" i="191"/>
  <c r="S191" i="203"/>
  <c r="O177" i="196"/>
  <c r="AB191" i="203"/>
  <c r="U189" i="203"/>
  <c r="AC191" i="203"/>
  <c r="N177" i="196"/>
  <c r="R191" i="203"/>
  <c r="Z34" i="191"/>
  <c r="V189" i="203" l="1"/>
  <c r="X189" i="203" s="1"/>
  <c r="T191" i="203"/>
  <c r="AF189" i="203"/>
  <c r="AH189" i="203" s="1"/>
  <c r="AD191" i="203"/>
  <c r="Q192" i="203"/>
  <c r="AG190" i="203"/>
  <c r="AI190" i="203"/>
  <c r="W190" i="203"/>
  <c r="Y190" i="203"/>
  <c r="AA192" i="203"/>
  <c r="AE32" i="191"/>
  <c r="AG32" i="191" s="1"/>
  <c r="AD32" i="191"/>
  <c r="AF32" i="191" s="1"/>
  <c r="U32" i="191"/>
  <c r="W32" i="191" s="1"/>
  <c r="T32" i="191"/>
  <c r="V32" i="191" s="1"/>
  <c r="K178" i="196"/>
  <c r="AB34" i="191"/>
  <c r="AC34" i="191" s="1"/>
  <c r="Y35" i="191"/>
  <c r="R34" i="191"/>
  <c r="S34" i="191" s="1"/>
  <c r="O35" i="191"/>
  <c r="P35" i="191"/>
  <c r="AE190" i="203"/>
  <c r="L178" i="196"/>
  <c r="S192" i="203"/>
  <c r="N178" i="196"/>
  <c r="AC192" i="203"/>
  <c r="R192" i="203"/>
  <c r="O178" i="196"/>
  <c r="AB192" i="203"/>
  <c r="U190" i="203"/>
  <c r="M178" i="196"/>
  <c r="Z35" i="191"/>
  <c r="Q35" i="191"/>
  <c r="AA35" i="191"/>
  <c r="AF190" i="203" l="1"/>
  <c r="AH190" i="203" s="1"/>
  <c r="T192" i="203"/>
  <c r="AD192" i="203"/>
  <c r="V190" i="203"/>
  <c r="X190" i="203" s="1"/>
  <c r="Q193" i="203"/>
  <c r="AA193" i="203"/>
  <c r="AI191" i="203"/>
  <c r="AG191" i="203"/>
  <c r="W191" i="203"/>
  <c r="Y191" i="203"/>
  <c r="U33" i="191"/>
  <c r="W33" i="191" s="1"/>
  <c r="T33" i="191"/>
  <c r="V33" i="191" s="1"/>
  <c r="AE33" i="191"/>
  <c r="AG33" i="191" s="1"/>
  <c r="AD33" i="191"/>
  <c r="AF33" i="191" s="1"/>
  <c r="K179" i="196"/>
  <c r="AB35" i="191"/>
  <c r="AC35" i="191" s="1"/>
  <c r="Y36" i="191"/>
  <c r="R35" i="191"/>
  <c r="S35" i="191" s="1"/>
  <c r="O36" i="191"/>
  <c r="R193" i="203"/>
  <c r="AE191" i="203"/>
  <c r="S193" i="203"/>
  <c r="AA36" i="191"/>
  <c r="U191" i="203"/>
  <c r="O179" i="196"/>
  <c r="M179" i="196"/>
  <c r="L179" i="196"/>
  <c r="N179" i="196"/>
  <c r="AC193" i="203"/>
  <c r="Z36" i="191"/>
  <c r="AB193" i="203"/>
  <c r="P36" i="191"/>
  <c r="Q36" i="191"/>
  <c r="AF191" i="203" l="1"/>
  <c r="AH191" i="203" s="1"/>
  <c r="AD193" i="203"/>
  <c r="T193" i="203"/>
  <c r="V191" i="203"/>
  <c r="X191" i="203" s="1"/>
  <c r="AA194" i="203"/>
  <c r="Q194" i="203"/>
  <c r="AG192" i="203"/>
  <c r="AI192" i="203"/>
  <c r="W192" i="203"/>
  <c r="Y192" i="203"/>
  <c r="AE34" i="191"/>
  <c r="AG34" i="191" s="1"/>
  <c r="AD34" i="191"/>
  <c r="AF34" i="191" s="1"/>
  <c r="U34" i="191"/>
  <c r="W34" i="191" s="1"/>
  <c r="T34" i="191"/>
  <c r="V34" i="191" s="1"/>
  <c r="K180" i="196"/>
  <c r="AB36" i="191"/>
  <c r="AC36" i="191" s="1"/>
  <c r="Y37" i="191"/>
  <c r="R36" i="191"/>
  <c r="S36" i="191" s="1"/>
  <c r="O37" i="191"/>
  <c r="M180" i="196"/>
  <c r="AE192" i="203"/>
  <c r="O180" i="196"/>
  <c r="AA37" i="191"/>
  <c r="R194" i="203"/>
  <c r="L180" i="196"/>
  <c r="Q37" i="191"/>
  <c r="AC194" i="203"/>
  <c r="AB194" i="203"/>
  <c r="P37" i="191"/>
  <c r="S194" i="203"/>
  <c r="U192" i="203"/>
  <c r="N180" i="196"/>
  <c r="Z37" i="191"/>
  <c r="AF192" i="203" l="1"/>
  <c r="AH192" i="203" s="1"/>
  <c r="T194" i="203"/>
  <c r="AD194" i="203"/>
  <c r="V192" i="203"/>
  <c r="X192" i="203" s="1"/>
  <c r="Q195" i="203"/>
  <c r="AA195" i="203"/>
  <c r="Y193" i="203"/>
  <c r="W193" i="203"/>
  <c r="AI193" i="203"/>
  <c r="AG193" i="203"/>
  <c r="U35" i="191"/>
  <c r="W35" i="191" s="1"/>
  <c r="T35" i="191"/>
  <c r="V35" i="191" s="1"/>
  <c r="AE35" i="191"/>
  <c r="AG35" i="191" s="1"/>
  <c r="AD35" i="191"/>
  <c r="AF35" i="191" s="1"/>
  <c r="K181" i="196"/>
  <c r="AB37" i="191"/>
  <c r="AC37" i="191" s="1"/>
  <c r="Y38" i="191"/>
  <c r="R37" i="191"/>
  <c r="S37" i="191" s="1"/>
  <c r="O38" i="191"/>
  <c r="N181" i="196"/>
  <c r="M181" i="196"/>
  <c r="Q38" i="191"/>
  <c r="P38" i="191"/>
  <c r="L181" i="196"/>
  <c r="S195" i="203"/>
  <c r="R195" i="203"/>
  <c r="AA38" i="191"/>
  <c r="AE193" i="203"/>
  <c r="Z38" i="191"/>
  <c r="U193" i="203"/>
  <c r="AC195" i="203"/>
  <c r="AB195" i="203"/>
  <c r="O181" i="196"/>
  <c r="AD195" i="203" l="1"/>
  <c r="T195" i="203"/>
  <c r="AF193" i="203"/>
  <c r="AH193" i="203" s="1"/>
  <c r="V193" i="203"/>
  <c r="X193" i="203" s="1"/>
  <c r="AA196" i="203"/>
  <c r="Q196" i="203"/>
  <c r="AI194" i="203"/>
  <c r="AG194" i="203"/>
  <c r="Y194" i="203"/>
  <c r="W194" i="203"/>
  <c r="AE36" i="191"/>
  <c r="AG36" i="191" s="1"/>
  <c r="AD36" i="191"/>
  <c r="AF36" i="191" s="1"/>
  <c r="U36" i="191"/>
  <c r="W36" i="191" s="1"/>
  <c r="T36" i="191"/>
  <c r="V36" i="191" s="1"/>
  <c r="K182" i="196"/>
  <c r="AB38" i="191"/>
  <c r="AC38" i="191" s="1"/>
  <c r="Y39" i="191"/>
  <c r="R38" i="191"/>
  <c r="S38" i="191" s="1"/>
  <c r="O39" i="191"/>
  <c r="L182" i="196"/>
  <c r="AE194" i="203"/>
  <c r="S196" i="203"/>
  <c r="Z39" i="191"/>
  <c r="P39" i="191"/>
  <c r="O182" i="196"/>
  <c r="N182" i="196"/>
  <c r="AA39" i="191"/>
  <c r="U194" i="203"/>
  <c r="M182" i="196"/>
  <c r="AC196" i="203"/>
  <c r="AB196" i="203"/>
  <c r="R196" i="203"/>
  <c r="Q39" i="191"/>
  <c r="AF194" i="203" l="1"/>
  <c r="AH194" i="203" s="1"/>
  <c r="T196" i="203"/>
  <c r="AD196" i="203"/>
  <c r="V194" i="203"/>
  <c r="X194" i="203" s="1"/>
  <c r="Q197" i="203"/>
  <c r="AA197" i="203"/>
  <c r="Y195" i="203"/>
  <c r="W195" i="203"/>
  <c r="AG195" i="203"/>
  <c r="AI195" i="203"/>
  <c r="U37" i="191"/>
  <c r="W37" i="191" s="1"/>
  <c r="T37" i="191"/>
  <c r="V37" i="191" s="1"/>
  <c r="AE37" i="191"/>
  <c r="AG37" i="191" s="1"/>
  <c r="AD37" i="191"/>
  <c r="AF37" i="191" s="1"/>
  <c r="K183" i="196"/>
  <c r="AB39" i="191"/>
  <c r="AC39" i="191" s="1"/>
  <c r="Y40" i="191"/>
  <c r="R39" i="191"/>
  <c r="S39" i="191" s="1"/>
  <c r="O40" i="191"/>
  <c r="P40" i="191"/>
  <c r="Q40" i="191"/>
  <c r="Z40" i="191"/>
  <c r="O183" i="196"/>
  <c r="L183" i="196"/>
  <c r="R197" i="203"/>
  <c r="U195" i="203"/>
  <c r="S197" i="203"/>
  <c r="N183" i="196"/>
  <c r="M183" i="196"/>
  <c r="AC197" i="203"/>
  <c r="AA40" i="191"/>
  <c r="AE195" i="203"/>
  <c r="AB197" i="203"/>
  <c r="AD197" i="203" l="1"/>
  <c r="T197" i="203"/>
  <c r="V195" i="203"/>
  <c r="X195" i="203" s="1"/>
  <c r="AF195" i="203"/>
  <c r="AH195" i="203" s="1"/>
  <c r="AA198" i="203"/>
  <c r="Q198" i="203"/>
  <c r="AG196" i="203"/>
  <c r="AI196" i="203"/>
  <c r="W196" i="203"/>
  <c r="Y196" i="203"/>
  <c r="AE38" i="191"/>
  <c r="AG38" i="191" s="1"/>
  <c r="AD38" i="191"/>
  <c r="AF38" i="191" s="1"/>
  <c r="U38" i="191"/>
  <c r="W38" i="191" s="1"/>
  <c r="T38" i="191"/>
  <c r="V38" i="191" s="1"/>
  <c r="K184" i="196"/>
  <c r="AB40" i="191"/>
  <c r="AC40" i="191" s="1"/>
  <c r="Y41" i="191"/>
  <c r="R40" i="191"/>
  <c r="S40" i="191" s="1"/>
  <c r="O41" i="191"/>
  <c r="AA41" i="191"/>
  <c r="S198" i="203"/>
  <c r="O184" i="196"/>
  <c r="Z41" i="191"/>
  <c r="Q41" i="191"/>
  <c r="AC198" i="203"/>
  <c r="R198" i="203"/>
  <c r="P41" i="191"/>
  <c r="L184" i="196"/>
  <c r="AB198" i="203"/>
  <c r="AE196" i="203"/>
  <c r="M184" i="196"/>
  <c r="N184" i="196"/>
  <c r="U196" i="203"/>
  <c r="T198" i="203" l="1"/>
  <c r="AF196" i="203"/>
  <c r="AH196" i="203" s="1"/>
  <c r="AD198" i="203"/>
  <c r="V196" i="203"/>
  <c r="X196" i="203" s="1"/>
  <c r="Q199" i="203"/>
  <c r="AA199" i="203"/>
  <c r="Y197" i="203"/>
  <c r="W197" i="203"/>
  <c r="AI197" i="203"/>
  <c r="AG197" i="203"/>
  <c r="AE39" i="191"/>
  <c r="AG39" i="191" s="1"/>
  <c r="AD39" i="191"/>
  <c r="AF39" i="191" s="1"/>
  <c r="U39" i="191"/>
  <c r="W39" i="191" s="1"/>
  <c r="T39" i="191"/>
  <c r="V39" i="191" s="1"/>
  <c r="K185" i="196"/>
  <c r="AB41" i="191"/>
  <c r="AC41" i="191" s="1"/>
  <c r="Y42" i="191"/>
  <c r="R41" i="191"/>
  <c r="S41" i="191" s="1"/>
  <c r="O42" i="191"/>
  <c r="N185" i="196"/>
  <c r="Q42" i="191"/>
  <c r="R199" i="203"/>
  <c r="U197" i="203"/>
  <c r="Z42" i="191"/>
  <c r="S199" i="203"/>
  <c r="P42" i="191"/>
  <c r="O185" i="196"/>
  <c r="AE197" i="203"/>
  <c r="M185" i="196"/>
  <c r="L185" i="196"/>
  <c r="AC199" i="203"/>
  <c r="AB199" i="203"/>
  <c r="AA42" i="191"/>
  <c r="V197" i="203" l="1"/>
  <c r="X197" i="203" s="1"/>
  <c r="AD199" i="203"/>
  <c r="T199" i="203"/>
  <c r="AF197" i="203"/>
  <c r="AH197" i="203" s="1"/>
  <c r="AA200" i="203"/>
  <c r="Q200" i="203"/>
  <c r="AI198" i="203"/>
  <c r="AG198" i="203"/>
  <c r="Y198" i="203"/>
  <c r="W198" i="203"/>
  <c r="AE40" i="191"/>
  <c r="AG40" i="191" s="1"/>
  <c r="AD40" i="191"/>
  <c r="AF40" i="191" s="1"/>
  <c r="U40" i="191"/>
  <c r="W40" i="191" s="1"/>
  <c r="T40" i="191"/>
  <c r="V40" i="191" s="1"/>
  <c r="K186" i="196"/>
  <c r="AB42" i="191"/>
  <c r="AC42" i="191" s="1"/>
  <c r="Y43" i="191"/>
  <c r="R42" i="191"/>
  <c r="S42" i="191" s="1"/>
  <c r="O43" i="191"/>
  <c r="Z43" i="191"/>
  <c r="N186" i="196"/>
  <c r="M186" i="196"/>
  <c r="P43" i="191"/>
  <c r="AA43" i="191"/>
  <c r="Q43" i="191"/>
  <c r="U198" i="203"/>
  <c r="AE198" i="203"/>
  <c r="O186" i="196"/>
  <c r="L186" i="196"/>
  <c r="R200" i="203"/>
  <c r="S200" i="203"/>
  <c r="AB200" i="203"/>
  <c r="AC200" i="203"/>
  <c r="AD200" i="203" l="1"/>
  <c r="AF198" i="203"/>
  <c r="AH198" i="203" s="1"/>
  <c r="T200" i="203"/>
  <c r="V198" i="203"/>
  <c r="X198" i="203" s="1"/>
  <c r="AA201" i="203"/>
  <c r="Q201" i="203"/>
  <c r="Y199" i="203"/>
  <c r="W199" i="203"/>
  <c r="AI199" i="203"/>
  <c r="AG199" i="203"/>
  <c r="AE41" i="191"/>
  <c r="AG41" i="191" s="1"/>
  <c r="AD41" i="191"/>
  <c r="AF41" i="191" s="1"/>
  <c r="U41" i="191"/>
  <c r="W41" i="191" s="1"/>
  <c r="T41" i="191"/>
  <c r="V41" i="191" s="1"/>
  <c r="K187" i="196"/>
  <c r="AB43" i="191"/>
  <c r="AC43" i="191" s="1"/>
  <c r="Y44" i="191"/>
  <c r="R43" i="191"/>
  <c r="S43" i="191" s="1"/>
  <c r="O44" i="191"/>
  <c r="AA44" i="191"/>
  <c r="U199" i="203"/>
  <c r="S201" i="203"/>
  <c r="AC201" i="203"/>
  <c r="P44" i="191"/>
  <c r="O187" i="196"/>
  <c r="L187" i="196"/>
  <c r="R201" i="203"/>
  <c r="AB201" i="203"/>
  <c r="AE199" i="203"/>
  <c r="Z44" i="191"/>
  <c r="M187" i="196"/>
  <c r="N187" i="196"/>
  <c r="Q44" i="191"/>
  <c r="V199" i="203" l="1"/>
  <c r="X199" i="203" s="1"/>
  <c r="T201" i="203"/>
  <c r="AD201" i="203"/>
  <c r="AF199" i="203"/>
  <c r="AH199" i="203" s="1"/>
  <c r="Q202" i="203"/>
  <c r="AA202" i="203"/>
  <c r="W200" i="203"/>
  <c r="Y200" i="203"/>
  <c r="AG200" i="203"/>
  <c r="AI200" i="203"/>
  <c r="AE42" i="191"/>
  <c r="AG42" i="191" s="1"/>
  <c r="AD42" i="191"/>
  <c r="AF42" i="191" s="1"/>
  <c r="U42" i="191"/>
  <c r="W42" i="191" s="1"/>
  <c r="T42" i="191"/>
  <c r="V42" i="191" s="1"/>
  <c r="K188" i="196"/>
  <c r="AB44" i="191"/>
  <c r="AC44" i="191" s="1"/>
  <c r="Y45" i="191"/>
  <c r="R44" i="191"/>
  <c r="S44" i="191" s="1"/>
  <c r="O45" i="191"/>
  <c r="L188" i="196"/>
  <c r="O188" i="196"/>
  <c r="AB202" i="203"/>
  <c r="AE200" i="203"/>
  <c r="M188" i="196"/>
  <c r="AA45" i="191"/>
  <c r="AC202" i="203"/>
  <c r="Z45" i="191"/>
  <c r="R202" i="203"/>
  <c r="P45" i="191"/>
  <c r="N188" i="196"/>
  <c r="Q45" i="191"/>
  <c r="S202" i="203"/>
  <c r="U200" i="203"/>
  <c r="V200" i="203" l="1"/>
  <c r="X200" i="203" s="1"/>
  <c r="AD202" i="203"/>
  <c r="AF200" i="203"/>
  <c r="AH200" i="203" s="1"/>
  <c r="T202" i="203"/>
  <c r="AA203" i="203"/>
  <c r="AI201" i="203"/>
  <c r="AG201" i="203"/>
  <c r="Y201" i="203"/>
  <c r="W201" i="203"/>
  <c r="Q203" i="203"/>
  <c r="AE43" i="191"/>
  <c r="AG43" i="191" s="1"/>
  <c r="AD43" i="191"/>
  <c r="AF43" i="191" s="1"/>
  <c r="U43" i="191"/>
  <c r="W43" i="191" s="1"/>
  <c r="T43" i="191"/>
  <c r="V43" i="191" s="1"/>
  <c r="K189" i="196"/>
  <c r="AB45" i="191"/>
  <c r="AC45" i="191" s="1"/>
  <c r="Y46" i="191"/>
  <c r="R45" i="191"/>
  <c r="S45" i="191" s="1"/>
  <c r="O46" i="191"/>
  <c r="L189" i="196"/>
  <c r="AA46" i="191"/>
  <c r="Q46" i="191"/>
  <c r="AC203" i="203"/>
  <c r="M189" i="196"/>
  <c r="P46" i="191"/>
  <c r="S203" i="203"/>
  <c r="R203" i="203"/>
  <c r="O189" i="196"/>
  <c r="Z46" i="191"/>
  <c r="U201" i="203"/>
  <c r="AB203" i="203"/>
  <c r="N189" i="196"/>
  <c r="AE201" i="203"/>
  <c r="AF201" i="203" l="1"/>
  <c r="AH201" i="203" s="1"/>
  <c r="AD203" i="203"/>
  <c r="T203" i="203"/>
  <c r="V201" i="203"/>
  <c r="X201" i="203" s="1"/>
  <c r="AA204" i="203"/>
  <c r="Q204" i="203"/>
  <c r="Y202" i="203"/>
  <c r="W202" i="203"/>
  <c r="AI202" i="203"/>
  <c r="AG202" i="203"/>
  <c r="AE44" i="191"/>
  <c r="AG44" i="191" s="1"/>
  <c r="AD44" i="191"/>
  <c r="AF44" i="191" s="1"/>
  <c r="U44" i="191"/>
  <c r="W44" i="191" s="1"/>
  <c r="T44" i="191"/>
  <c r="V44" i="191" s="1"/>
  <c r="K190" i="196"/>
  <c r="AB46" i="191"/>
  <c r="AC46" i="191" s="1"/>
  <c r="Y47" i="191"/>
  <c r="R46" i="191"/>
  <c r="S46" i="191" s="1"/>
  <c r="O47" i="191"/>
  <c r="AA47" i="191"/>
  <c r="M190" i="196"/>
  <c r="R204" i="203"/>
  <c r="S204" i="203"/>
  <c r="U202" i="203"/>
  <c r="N190" i="196"/>
  <c r="P47" i="191"/>
  <c r="O190" i="196"/>
  <c r="Q47" i="191"/>
  <c r="AE202" i="203"/>
  <c r="L190" i="196"/>
  <c r="AC204" i="203"/>
  <c r="AB204" i="203"/>
  <c r="Z47" i="191"/>
  <c r="V202" i="203" l="1"/>
  <c r="X202" i="203" s="1"/>
  <c r="AD204" i="203"/>
  <c r="AF202" i="203"/>
  <c r="AH202" i="203" s="1"/>
  <c r="T204" i="203"/>
  <c r="AA205" i="203"/>
  <c r="Y203" i="203"/>
  <c r="W203" i="203"/>
  <c r="AG203" i="203"/>
  <c r="AI203" i="203"/>
  <c r="Q205" i="203"/>
  <c r="AE45" i="191"/>
  <c r="AG45" i="191" s="1"/>
  <c r="AD45" i="191"/>
  <c r="AF45" i="191" s="1"/>
  <c r="U45" i="191"/>
  <c r="W45" i="191" s="1"/>
  <c r="T45" i="191"/>
  <c r="V45" i="191" s="1"/>
  <c r="K191" i="196"/>
  <c r="AB47" i="191"/>
  <c r="AC47" i="191" s="1"/>
  <c r="Y48" i="191"/>
  <c r="R47" i="191"/>
  <c r="S47" i="191" s="1"/>
  <c r="O191" i="196"/>
  <c r="S205" i="203"/>
  <c r="AC205" i="203"/>
  <c r="M191" i="196"/>
  <c r="N191" i="196"/>
  <c r="Z48" i="191"/>
  <c r="R205" i="203"/>
  <c r="AE203" i="203"/>
  <c r="AA48" i="191"/>
  <c r="L191" i="196"/>
  <c r="U203" i="203"/>
  <c r="AB205" i="203"/>
  <c r="AD205" i="203" l="1"/>
  <c r="T205" i="203"/>
  <c r="V203" i="203"/>
  <c r="X203" i="203" s="1"/>
  <c r="AF203" i="203"/>
  <c r="AH203" i="203" s="1"/>
  <c r="AA206" i="203"/>
  <c r="Q206" i="203"/>
  <c r="W204" i="203"/>
  <c r="Y204" i="203"/>
  <c r="AG204" i="203"/>
  <c r="AI204" i="203"/>
  <c r="AE46" i="191"/>
  <c r="AG46" i="191" s="1"/>
  <c r="AD46" i="191"/>
  <c r="AF46" i="191" s="1"/>
  <c r="U46" i="191"/>
  <c r="W46" i="191" s="1"/>
  <c r="T46" i="191"/>
  <c r="V46" i="191" s="1"/>
  <c r="K192" i="196"/>
  <c r="O48" i="191"/>
  <c r="L192" i="196"/>
  <c r="P48" i="191"/>
  <c r="AB206" i="203"/>
  <c r="AE204" i="203"/>
  <c r="U204" i="203"/>
  <c r="N192" i="196"/>
  <c r="O192" i="196"/>
  <c r="M192" i="196"/>
  <c r="AC206" i="203"/>
  <c r="Q48" i="191"/>
  <c r="R206" i="203"/>
  <c r="S206" i="203"/>
  <c r="V204" i="203" l="1"/>
  <c r="X204" i="203" s="1"/>
  <c r="T206" i="203"/>
  <c r="AD206" i="203"/>
  <c r="AF204" i="203"/>
  <c r="AH204" i="203" s="1"/>
  <c r="Q207" i="203"/>
  <c r="AA207" i="203"/>
  <c r="Y205" i="203"/>
  <c r="W205" i="203"/>
  <c r="AI205" i="203"/>
  <c r="AG205" i="203"/>
  <c r="AE47" i="191"/>
  <c r="AG47" i="191" s="1"/>
  <c r="AD47" i="191"/>
  <c r="AF47" i="191" s="1"/>
  <c r="K193" i="196"/>
  <c r="Y49" i="191"/>
  <c r="O49" i="191"/>
  <c r="U205" i="203"/>
  <c r="M193" i="196"/>
  <c r="Z49" i="191"/>
  <c r="L193" i="196"/>
  <c r="AE205" i="203"/>
  <c r="AC207" i="203"/>
  <c r="AB207" i="203"/>
  <c r="AA49" i="191"/>
  <c r="O193" i="196"/>
  <c r="N193" i="196"/>
  <c r="S207" i="203"/>
  <c r="Q49" i="191"/>
  <c r="P49" i="191"/>
  <c r="R207" i="203"/>
  <c r="AD207" i="203" l="1"/>
  <c r="T207" i="203"/>
  <c r="AF205" i="203"/>
  <c r="AH205" i="203" s="1"/>
  <c r="V205" i="203"/>
  <c r="X205" i="203" s="1"/>
  <c r="AA208" i="203"/>
  <c r="Q208" i="203"/>
  <c r="AI206" i="203"/>
  <c r="AG206" i="203"/>
  <c r="Y206" i="203"/>
  <c r="W206" i="203"/>
  <c r="U47" i="191"/>
  <c r="W47" i="191" s="1"/>
  <c r="T47" i="191"/>
  <c r="V47" i="191" s="1"/>
  <c r="K194" i="196"/>
  <c r="Y50" i="191"/>
  <c r="O50" i="191"/>
  <c r="U206" i="203"/>
  <c r="Q50" i="191"/>
  <c r="M194" i="196"/>
  <c r="S208" i="203"/>
  <c r="R208" i="203"/>
  <c r="L194" i="196"/>
  <c r="P50" i="191"/>
  <c r="O194" i="196"/>
  <c r="N194" i="196"/>
  <c r="AB208" i="203"/>
  <c r="AA50" i="191"/>
  <c r="AE206" i="203"/>
  <c r="Z50" i="191"/>
  <c r="AC208" i="203"/>
  <c r="AF206" i="203" l="1"/>
  <c r="AH206" i="203" s="1"/>
  <c r="T208" i="203"/>
  <c r="AD208" i="203"/>
  <c r="V206" i="203"/>
  <c r="X206" i="203" s="1"/>
  <c r="Q209" i="203"/>
  <c r="AA209" i="203"/>
  <c r="Y207" i="203"/>
  <c r="W207" i="203"/>
  <c r="AI207" i="203"/>
  <c r="AG207" i="203"/>
  <c r="K195" i="196"/>
  <c r="Y51" i="191"/>
  <c r="O51" i="191"/>
  <c r="M195" i="196"/>
  <c r="AB209" i="203"/>
  <c r="S209" i="203"/>
  <c r="P51" i="191"/>
  <c r="AC209" i="203"/>
  <c r="Z51" i="191"/>
  <c r="L195" i="196"/>
  <c r="U207" i="203"/>
  <c r="R209" i="203"/>
  <c r="AE207" i="203"/>
  <c r="AA51" i="191"/>
  <c r="Q51" i="191"/>
  <c r="N195" i="196"/>
  <c r="O195" i="196"/>
  <c r="V207" i="203" l="1"/>
  <c r="X207" i="203" s="1"/>
  <c r="AD209" i="203"/>
  <c r="T209" i="203"/>
  <c r="AF207" i="203"/>
  <c r="AH207" i="203" s="1"/>
  <c r="AA210" i="203"/>
  <c r="Q210" i="203"/>
  <c r="AG208" i="203"/>
  <c r="AI208" i="203"/>
  <c r="Y208" i="203"/>
  <c r="W208" i="203"/>
  <c r="K196" i="196"/>
  <c r="Y52" i="191"/>
  <c r="O52" i="191"/>
  <c r="N196" i="196"/>
  <c r="S210" i="203"/>
  <c r="U208" i="203"/>
  <c r="Z52" i="191"/>
  <c r="R210" i="203"/>
  <c r="O196" i="196"/>
  <c r="M196" i="196"/>
  <c r="AB210" i="203"/>
  <c r="AE208" i="203"/>
  <c r="AC210" i="203"/>
  <c r="AA52" i="191"/>
  <c r="Q52" i="191"/>
  <c r="P52" i="191"/>
  <c r="L196" i="196"/>
  <c r="AF208" i="203" l="1"/>
  <c r="AH208" i="203" s="1"/>
  <c r="T210" i="203"/>
  <c r="AD210" i="203"/>
  <c r="V208" i="203"/>
  <c r="X208" i="203" s="1"/>
  <c r="Q211" i="203"/>
  <c r="AA211" i="203"/>
  <c r="Y209" i="203"/>
  <c r="W209" i="203"/>
  <c r="AI209" i="203"/>
  <c r="AG209" i="203"/>
  <c r="K197" i="196"/>
  <c r="Y53" i="191"/>
  <c r="O53" i="191"/>
  <c r="S211" i="203"/>
  <c r="U209" i="203"/>
  <c r="Q53" i="191"/>
  <c r="M197" i="196"/>
  <c r="O197" i="196"/>
  <c r="L197" i="196"/>
  <c r="AA53" i="191"/>
  <c r="AC211" i="203"/>
  <c r="Z53" i="191"/>
  <c r="P53" i="191"/>
  <c r="R211" i="203"/>
  <c r="N197" i="196"/>
  <c r="AE209" i="203"/>
  <c r="AB211" i="203"/>
  <c r="V209" i="203" l="1"/>
  <c r="X209" i="203" s="1"/>
  <c r="AD211" i="203"/>
  <c r="T211" i="203"/>
  <c r="AF209" i="203"/>
  <c r="AH209" i="203" s="1"/>
  <c r="AA212" i="203"/>
  <c r="AG210" i="203"/>
  <c r="AI210" i="203"/>
  <c r="Q212" i="203"/>
  <c r="Y210" i="203"/>
  <c r="W210" i="203"/>
  <c r="K198" i="196"/>
  <c r="Y54" i="191"/>
  <c r="O54" i="191"/>
  <c r="U210" i="203"/>
  <c r="N198" i="196"/>
  <c r="AB212" i="203"/>
  <c r="L198" i="196"/>
  <c r="AE210" i="203"/>
  <c r="M198" i="196"/>
  <c r="O198" i="196"/>
  <c r="AA54" i="191"/>
  <c r="R212" i="203"/>
  <c r="Z54" i="191"/>
  <c r="P54" i="191"/>
  <c r="AC212" i="203"/>
  <c r="Q54" i="191"/>
  <c r="S212" i="203"/>
  <c r="AF210" i="203" l="1"/>
  <c r="AH210" i="203" s="1"/>
  <c r="AD212" i="203"/>
  <c r="V210" i="203"/>
  <c r="X210" i="203" s="1"/>
  <c r="T212" i="203"/>
  <c r="AA213" i="203"/>
  <c r="Y211" i="203"/>
  <c r="W211" i="203"/>
  <c r="AI211" i="203"/>
  <c r="AG211" i="203"/>
  <c r="Q213" i="203"/>
  <c r="K199" i="196"/>
  <c r="Y55" i="191"/>
  <c r="O55" i="191"/>
  <c r="AC213" i="203"/>
  <c r="P55" i="191"/>
  <c r="L199" i="196"/>
  <c r="M199" i="196"/>
  <c r="AA55" i="191"/>
  <c r="Z55" i="191"/>
  <c r="N199" i="196"/>
  <c r="Q55" i="191"/>
  <c r="AE211" i="203"/>
  <c r="R213" i="203"/>
  <c r="O199" i="196"/>
  <c r="S213" i="203"/>
  <c r="AB213" i="203"/>
  <c r="U211" i="203"/>
  <c r="V211" i="203" l="1"/>
  <c r="X211" i="203" s="1"/>
  <c r="T213" i="203"/>
  <c r="AD213" i="203"/>
  <c r="AF211" i="203"/>
  <c r="AH211" i="203" s="1"/>
  <c r="Q214" i="203"/>
  <c r="AG212" i="203"/>
  <c r="AI212" i="203"/>
  <c r="AA214" i="203"/>
  <c r="W212" i="203"/>
  <c r="Y212" i="203"/>
  <c r="K200" i="196"/>
  <c r="E41" i="177"/>
  <c r="D39" i="177"/>
  <c r="AB54" i="191"/>
  <c r="AC54" i="191" s="1"/>
  <c r="AB51" i="191"/>
  <c r="AC51" i="191" s="1"/>
  <c r="AB49" i="191"/>
  <c r="AC49" i="191" s="1"/>
  <c r="H35" i="185"/>
  <c r="K35" i="185" s="1"/>
  <c r="AB52" i="191"/>
  <c r="AC52" i="191" s="1"/>
  <c r="R54" i="191"/>
  <c r="S54" i="191" s="1"/>
  <c r="R50" i="191"/>
  <c r="S50" i="191" s="1"/>
  <c r="R53" i="191"/>
  <c r="S53" i="191" s="1"/>
  <c r="R52" i="191"/>
  <c r="S52" i="191" s="1"/>
  <c r="H20" i="185"/>
  <c r="H21" i="185" s="1"/>
  <c r="AB50" i="191"/>
  <c r="AC50" i="191" s="1"/>
  <c r="D50" i="185"/>
  <c r="D45" i="185"/>
  <c r="R48" i="191"/>
  <c r="S48" i="191" s="1"/>
  <c r="D40" i="177"/>
  <c r="H34" i="185"/>
  <c r="F34" i="185" s="1"/>
  <c r="R51" i="191"/>
  <c r="S51" i="191" s="1"/>
  <c r="AB53" i="191"/>
  <c r="AC53" i="191" s="1"/>
  <c r="O33" i="184"/>
  <c r="H18" i="185"/>
  <c r="I47" i="177"/>
  <c r="F44" i="185"/>
  <c r="J14" i="184"/>
  <c r="R49" i="191"/>
  <c r="S49" i="191" s="1"/>
  <c r="H46" i="177"/>
  <c r="F43" i="177"/>
  <c r="F44" i="177"/>
  <c r="T14" i="184"/>
  <c r="S27" i="184"/>
  <c r="B17" i="177"/>
  <c r="O20" i="184"/>
  <c r="B25" i="177"/>
  <c r="B26" i="177"/>
  <c r="B24" i="177"/>
  <c r="B27" i="177"/>
  <c r="B28" i="177"/>
  <c r="G45" i="177"/>
  <c r="D46" i="185"/>
  <c r="D51" i="185"/>
  <c r="D49" i="185"/>
  <c r="D44" i="185"/>
  <c r="B21" i="177"/>
  <c r="I33" i="184"/>
  <c r="J32" i="184"/>
  <c r="E33" i="184"/>
  <c r="AB48" i="191"/>
  <c r="AC48" i="191" s="1"/>
  <c r="H36" i="185"/>
  <c r="D36" i="185" s="1"/>
  <c r="AB55" i="191"/>
  <c r="AC55" i="191" s="1"/>
  <c r="Y56" i="191"/>
  <c r="R55" i="191"/>
  <c r="S55" i="191" s="1"/>
  <c r="O56" i="191"/>
  <c r="C43" i="177"/>
  <c r="AC214" i="203"/>
  <c r="N200" i="196"/>
  <c r="C27" i="177" a="1"/>
  <c r="Q56" i="191"/>
  <c r="O200" i="196"/>
  <c r="C26" i="177" a="1"/>
  <c r="U212" i="203"/>
  <c r="C39" i="177"/>
  <c r="C28" i="177" a="1"/>
  <c r="C40" i="177"/>
  <c r="F49" i="185"/>
  <c r="C44" i="177"/>
  <c r="M27" i="184"/>
  <c r="C41" i="177"/>
  <c r="L200" i="196"/>
  <c r="M200" i="196"/>
  <c r="C21" i="177" a="1"/>
  <c r="Z56" i="191"/>
  <c r="AA56" i="191"/>
  <c r="C17" i="177" a="1"/>
  <c r="S214" i="203"/>
  <c r="C24" i="177" a="1"/>
  <c r="P56" i="191"/>
  <c r="R214" i="203"/>
  <c r="C47" i="177"/>
  <c r="F50" i="185"/>
  <c r="C46" i="177"/>
  <c r="AE212" i="203"/>
  <c r="AB214" i="203"/>
  <c r="F51" i="185"/>
  <c r="C45" i="177"/>
  <c r="C25" i="177" a="1"/>
  <c r="AF212" i="203" l="1"/>
  <c r="AH212" i="203" s="1"/>
  <c r="V212" i="203"/>
  <c r="X212" i="203" s="1"/>
  <c r="T214" i="203"/>
  <c r="AD214" i="203"/>
  <c r="AI213" i="203"/>
  <c r="AG213" i="203"/>
  <c r="Q215" i="203"/>
  <c r="AA215" i="203"/>
  <c r="W213" i="203"/>
  <c r="Y213" i="203"/>
  <c r="I21" i="177"/>
  <c r="H21" i="177"/>
  <c r="G21" i="177"/>
  <c r="F21" i="177"/>
  <c r="E21" i="177"/>
  <c r="D21" i="177"/>
  <c r="C21" i="177"/>
  <c r="H26" i="177"/>
  <c r="G26" i="177"/>
  <c r="F26" i="177"/>
  <c r="E26" i="177"/>
  <c r="D26" i="177"/>
  <c r="C26" i="177"/>
  <c r="I26" i="177"/>
  <c r="H27" i="177"/>
  <c r="G27" i="177"/>
  <c r="F27" i="177"/>
  <c r="E27" i="177"/>
  <c r="D27" i="177"/>
  <c r="C27" i="177"/>
  <c r="I27" i="177"/>
  <c r="H24" i="177"/>
  <c r="G24" i="177"/>
  <c r="F24" i="177"/>
  <c r="E24" i="177"/>
  <c r="D24" i="177"/>
  <c r="C24" i="177"/>
  <c r="I24" i="177"/>
  <c r="H25" i="177"/>
  <c r="G25" i="177"/>
  <c r="F25" i="177"/>
  <c r="E25" i="177"/>
  <c r="D25" i="177"/>
  <c r="C25" i="177"/>
  <c r="I25" i="177"/>
  <c r="I17" i="177"/>
  <c r="H17" i="177"/>
  <c r="G17" i="177"/>
  <c r="F17" i="177"/>
  <c r="E17" i="177"/>
  <c r="D17" i="177"/>
  <c r="C17" i="177"/>
  <c r="D28" i="177"/>
  <c r="H28" i="177"/>
  <c r="I28" i="177"/>
  <c r="G28" i="177"/>
  <c r="F28" i="177"/>
  <c r="E28" i="177"/>
  <c r="C28" i="177"/>
  <c r="B20" i="177"/>
  <c r="B18" i="177"/>
  <c r="AE52" i="191"/>
  <c r="AG52" i="191" s="1"/>
  <c r="AE53" i="191"/>
  <c r="AG53" i="191" s="1"/>
  <c r="AE54" i="191"/>
  <c r="AG54" i="191" s="1"/>
  <c r="U50" i="191"/>
  <c r="W50" i="191" s="1"/>
  <c r="AE48" i="191"/>
  <c r="AG48" i="191" s="1"/>
  <c r="U54" i="191"/>
  <c r="W54" i="191" s="1"/>
  <c r="T50" i="191"/>
  <c r="V50" i="191" s="1"/>
  <c r="AD54" i="191"/>
  <c r="AF54" i="191" s="1"/>
  <c r="I34" i="185"/>
  <c r="J34" i="185"/>
  <c r="G34" i="185"/>
  <c r="K201" i="196"/>
  <c r="G45" i="185"/>
  <c r="G44" i="185"/>
  <c r="T54" i="191"/>
  <c r="V54" i="191" s="1"/>
  <c r="G46" i="185"/>
  <c r="G35" i="185"/>
  <c r="AD53" i="191"/>
  <c r="AF53" i="191" s="1"/>
  <c r="D34" i="185"/>
  <c r="E34" i="185"/>
  <c r="E35" i="185"/>
  <c r="D35" i="185"/>
  <c r="J35" i="185"/>
  <c r="AD52" i="191"/>
  <c r="AF52" i="191" s="1"/>
  <c r="F35" i="185"/>
  <c r="I35" i="185"/>
  <c r="J19" i="184"/>
  <c r="E20" i="184"/>
  <c r="I20" i="184"/>
  <c r="M20" i="184"/>
  <c r="S20" i="184"/>
  <c r="T19" i="184"/>
  <c r="G50" i="185"/>
  <c r="G49" i="185"/>
  <c r="G51" i="185"/>
  <c r="K34" i="185"/>
  <c r="K36" i="185"/>
  <c r="E36" i="185"/>
  <c r="G36" i="185"/>
  <c r="T27" i="184"/>
  <c r="AD48" i="191"/>
  <c r="AF48" i="191" s="1"/>
  <c r="J36" i="185"/>
  <c r="I36" i="185"/>
  <c r="F36" i="185"/>
  <c r="AB56" i="191"/>
  <c r="AC56" i="191" s="1"/>
  <c r="Y57" i="191"/>
  <c r="R56" i="191"/>
  <c r="S56" i="191" s="1"/>
  <c r="O57" i="191"/>
  <c r="U213" i="203"/>
  <c r="Q57" i="191"/>
  <c r="O201" i="196"/>
  <c r="C18" i="177" a="1"/>
  <c r="M32" i="184"/>
  <c r="AE213" i="203"/>
  <c r="S32" i="184"/>
  <c r="N201" i="196"/>
  <c r="P57" i="191"/>
  <c r="AC215" i="203"/>
  <c r="L201" i="196"/>
  <c r="S215" i="203"/>
  <c r="C20" i="177" a="1"/>
  <c r="M201" i="196"/>
  <c r="AB215" i="203"/>
  <c r="Z57" i="191"/>
  <c r="R215" i="203"/>
  <c r="AA57" i="191"/>
  <c r="T215" i="203" l="1"/>
  <c r="AF213" i="203"/>
  <c r="AH213" i="203" s="1"/>
  <c r="V213" i="203"/>
  <c r="X213" i="203" s="1"/>
  <c r="AD215" i="203"/>
  <c r="Q216" i="203"/>
  <c r="AI214" i="203"/>
  <c r="AG214" i="203"/>
  <c r="Y214" i="203"/>
  <c r="W214" i="203"/>
  <c r="AA216" i="203"/>
  <c r="I18" i="177"/>
  <c r="H18" i="177"/>
  <c r="G18" i="177"/>
  <c r="F18" i="177"/>
  <c r="E18" i="177"/>
  <c r="D18" i="177"/>
  <c r="C18" i="177"/>
  <c r="I20" i="177"/>
  <c r="H20" i="177"/>
  <c r="G20" i="177"/>
  <c r="F20" i="177"/>
  <c r="E20" i="177"/>
  <c r="D20" i="177"/>
  <c r="C20" i="177"/>
  <c r="U52" i="191"/>
  <c r="W52" i="191" s="1"/>
  <c r="T52" i="191"/>
  <c r="V52" i="191" s="1"/>
  <c r="U48" i="191"/>
  <c r="W48" i="191" s="1"/>
  <c r="T48" i="191"/>
  <c r="V48" i="191" s="1"/>
  <c r="U55" i="191"/>
  <c r="W55" i="191" s="1"/>
  <c r="T55" i="191"/>
  <c r="V55" i="191" s="1"/>
  <c r="U51" i="191"/>
  <c r="W51" i="191" s="1"/>
  <c r="T51" i="191"/>
  <c r="V51" i="191" s="1"/>
  <c r="AE51" i="191"/>
  <c r="AG51" i="191" s="1"/>
  <c r="AD51" i="191"/>
  <c r="AF51" i="191" s="1"/>
  <c r="U49" i="191"/>
  <c r="W49" i="191" s="1"/>
  <c r="T49" i="191"/>
  <c r="V49" i="191" s="1"/>
  <c r="AE50" i="191"/>
  <c r="AG50" i="191" s="1"/>
  <c r="AD50" i="191"/>
  <c r="AF50" i="191" s="1"/>
  <c r="AE49" i="191"/>
  <c r="AG49" i="191" s="1"/>
  <c r="AD49" i="191"/>
  <c r="AF49" i="191" s="1"/>
  <c r="AE55" i="191"/>
  <c r="AG55" i="191" s="1"/>
  <c r="AD55" i="191"/>
  <c r="AF55" i="191" s="1"/>
  <c r="U53" i="191"/>
  <c r="W53" i="191" s="1"/>
  <c r="T53" i="191"/>
  <c r="V53" i="191" s="1"/>
  <c r="D32" i="177"/>
  <c r="E32" i="177"/>
  <c r="K202" i="196"/>
  <c r="I32" i="177"/>
  <c r="F32" i="177"/>
  <c r="G32" i="177"/>
  <c r="T32" i="184"/>
  <c r="M33" i="184"/>
  <c r="S33" i="184"/>
  <c r="C32" i="177"/>
  <c r="C31" i="177"/>
  <c r="H32" i="177"/>
  <c r="AB57" i="191"/>
  <c r="AC57" i="191" s="1"/>
  <c r="Y58" i="191"/>
  <c r="R57" i="191"/>
  <c r="S57" i="191" s="1"/>
  <c r="O58" i="191"/>
  <c r="AA58" i="191"/>
  <c r="S216" i="203"/>
  <c r="M202" i="196"/>
  <c r="AE214" i="203"/>
  <c r="R216" i="203"/>
  <c r="N202" i="196"/>
  <c r="P58" i="191"/>
  <c r="AC216" i="203"/>
  <c r="U214" i="203"/>
  <c r="AB216" i="203"/>
  <c r="Q58" i="191"/>
  <c r="L202" i="196"/>
  <c r="O202" i="196"/>
  <c r="Z58" i="191"/>
  <c r="AF214" i="203" l="1"/>
  <c r="AH214" i="203" s="1"/>
  <c r="T216" i="203"/>
  <c r="AD216" i="203"/>
  <c r="V214" i="203"/>
  <c r="X214" i="203" s="1"/>
  <c r="Q217" i="203"/>
  <c r="AA217" i="203"/>
  <c r="AG215" i="203"/>
  <c r="AI215" i="203"/>
  <c r="W215" i="203"/>
  <c r="Y215" i="203"/>
  <c r="U56" i="191"/>
  <c r="W56" i="191" s="1"/>
  <c r="T56" i="191"/>
  <c r="V56" i="191" s="1"/>
  <c r="AE56" i="191"/>
  <c r="AG56" i="191" s="1"/>
  <c r="AD56" i="191"/>
  <c r="AF56" i="191" s="1"/>
  <c r="G33" i="177"/>
  <c r="G34" i="177" s="1"/>
  <c r="K203" i="196"/>
  <c r="F33" i="177"/>
  <c r="F34" i="177" s="1"/>
  <c r="D33" i="177"/>
  <c r="D34" i="177" s="1"/>
  <c r="I33" i="177"/>
  <c r="I34" i="177" s="1"/>
  <c r="E33" i="177"/>
  <c r="E34" i="177" s="1"/>
  <c r="H33" i="177"/>
  <c r="H34" i="177" s="1"/>
  <c r="AB58" i="191"/>
  <c r="AC58" i="191" s="1"/>
  <c r="Y59" i="191"/>
  <c r="R58" i="191"/>
  <c r="S58" i="191" s="1"/>
  <c r="O59" i="191"/>
  <c r="S217" i="203"/>
  <c r="U215" i="203"/>
  <c r="AA59" i="191"/>
  <c r="O203" i="196"/>
  <c r="M203" i="196"/>
  <c r="AB217" i="203"/>
  <c r="AE215" i="203"/>
  <c r="R217" i="203"/>
  <c r="AC217" i="203"/>
  <c r="N203" i="196"/>
  <c r="L203" i="196"/>
  <c r="P59" i="191"/>
  <c r="Q59" i="191"/>
  <c r="Z59" i="191"/>
  <c r="AF215" i="203" l="1"/>
  <c r="AH215" i="203" s="1"/>
  <c r="AD217" i="203"/>
  <c r="T217" i="203"/>
  <c r="V215" i="203"/>
  <c r="X215" i="203" s="1"/>
  <c r="AA218" i="203"/>
  <c r="Q218" i="203"/>
  <c r="AG216" i="203"/>
  <c r="AI216" i="203"/>
  <c r="W216" i="203"/>
  <c r="Y216" i="203"/>
  <c r="U57" i="191"/>
  <c r="W57" i="191" s="1"/>
  <c r="T57" i="191"/>
  <c r="V57" i="191" s="1"/>
  <c r="AE57" i="191"/>
  <c r="AG57" i="191" s="1"/>
  <c r="AD57" i="191"/>
  <c r="AF57" i="191" s="1"/>
  <c r="K204" i="196"/>
  <c r="AB59" i="191"/>
  <c r="AC59" i="191" s="1"/>
  <c r="Y60" i="191"/>
  <c r="R59" i="191"/>
  <c r="S59" i="191" s="1"/>
  <c r="O60" i="191"/>
  <c r="R218" i="203"/>
  <c r="AA60" i="191"/>
  <c r="AB218" i="203"/>
  <c r="AE216" i="203"/>
  <c r="S218" i="203"/>
  <c r="P60" i="191"/>
  <c r="M204" i="196"/>
  <c r="AC218" i="203"/>
  <c r="N204" i="196"/>
  <c r="L204" i="196"/>
  <c r="O204" i="196"/>
  <c r="Q60" i="191"/>
  <c r="U216" i="203"/>
  <c r="Z60" i="191"/>
  <c r="AF216" i="203" l="1"/>
  <c r="AH216" i="203" s="1"/>
  <c r="AD218" i="203"/>
  <c r="T218" i="203"/>
  <c r="V216" i="203"/>
  <c r="X216" i="203" s="1"/>
  <c r="AA219" i="203"/>
  <c r="Y217" i="203"/>
  <c r="W217" i="203"/>
  <c r="Q219" i="203"/>
  <c r="AI217" i="203"/>
  <c r="AG217" i="203"/>
  <c r="AE58" i="191"/>
  <c r="AG58" i="191" s="1"/>
  <c r="AD58" i="191"/>
  <c r="AF58" i="191" s="1"/>
  <c r="U58" i="191"/>
  <c r="W58" i="191" s="1"/>
  <c r="T58" i="191"/>
  <c r="V58" i="191" s="1"/>
  <c r="K205" i="196"/>
  <c r="AB60" i="191"/>
  <c r="AC60" i="191" s="1"/>
  <c r="Y61" i="191"/>
  <c r="R60" i="191"/>
  <c r="S60" i="191" s="1"/>
  <c r="O61" i="191"/>
  <c r="Q61" i="191"/>
  <c r="AA61" i="191"/>
  <c r="N205" i="196"/>
  <c r="L205" i="196"/>
  <c r="AE217" i="203"/>
  <c r="P61" i="191"/>
  <c r="Z61" i="191"/>
  <c r="R219" i="203"/>
  <c r="AB219" i="203"/>
  <c r="U217" i="203"/>
  <c r="S219" i="203"/>
  <c r="AC219" i="203"/>
  <c r="O205" i="196"/>
  <c r="M205" i="196"/>
  <c r="V217" i="203" l="1"/>
  <c r="X217" i="203" s="1"/>
  <c r="AD219" i="203"/>
  <c r="AF217" i="203"/>
  <c r="AH217" i="203" s="1"/>
  <c r="T219" i="203"/>
  <c r="Y218" i="203"/>
  <c r="W218" i="203"/>
  <c r="AI218" i="203"/>
  <c r="AG218" i="203"/>
  <c r="AE59" i="191"/>
  <c r="AG59" i="191" s="1"/>
  <c r="AD59" i="191"/>
  <c r="AF59" i="191" s="1"/>
  <c r="U59" i="191"/>
  <c r="W59" i="191" s="1"/>
  <c r="T59" i="191"/>
  <c r="V59" i="191" s="1"/>
  <c r="K206" i="196"/>
  <c r="AB61" i="191"/>
  <c r="AC61" i="191" s="1"/>
  <c r="Y62" i="191"/>
  <c r="R61" i="191"/>
  <c r="S61" i="191" s="1"/>
  <c r="O62" i="191"/>
  <c r="N206" i="196"/>
  <c r="O206" i="196"/>
  <c r="M206" i="196"/>
  <c r="L206" i="196"/>
  <c r="AA62" i="191"/>
  <c r="P62" i="191"/>
  <c r="AE218" i="203"/>
  <c r="Q62" i="191"/>
  <c r="Z62" i="191"/>
  <c r="U218" i="203"/>
  <c r="AF218" i="203" l="1"/>
  <c r="AH218" i="203" s="1"/>
  <c r="V218" i="203"/>
  <c r="X218" i="203" s="1"/>
  <c r="Y219" i="203"/>
  <c r="W219" i="203"/>
  <c r="AI219" i="203"/>
  <c r="AG219" i="203"/>
  <c r="AE60" i="191"/>
  <c r="AG60" i="191" s="1"/>
  <c r="AD60" i="191"/>
  <c r="AF60" i="191" s="1"/>
  <c r="U60" i="191"/>
  <c r="W60" i="191" s="1"/>
  <c r="T60" i="191"/>
  <c r="V60" i="191" s="1"/>
  <c r="K207" i="196"/>
  <c r="AB62" i="191"/>
  <c r="AC62" i="191" s="1"/>
  <c r="Y63" i="191"/>
  <c r="R62" i="191"/>
  <c r="S62" i="191" s="1"/>
  <c r="O63" i="191"/>
  <c r="Q63" i="191"/>
  <c r="AE219" i="203"/>
  <c r="AA63" i="191"/>
  <c r="O207" i="196"/>
  <c r="U219" i="203"/>
  <c r="M207" i="196"/>
  <c r="Z63" i="191"/>
  <c r="N207" i="196"/>
  <c r="L207" i="196"/>
  <c r="P63" i="191"/>
  <c r="AF219" i="203" l="1"/>
  <c r="AH219" i="203" s="1"/>
  <c r="V219" i="203"/>
  <c r="X219" i="203" s="1"/>
  <c r="U61" i="191"/>
  <c r="W61" i="191" s="1"/>
  <c r="T61" i="191"/>
  <c r="V61" i="191" s="1"/>
  <c r="AE61" i="191"/>
  <c r="AG61" i="191" s="1"/>
  <c r="AD61" i="191"/>
  <c r="AF61" i="191" s="1"/>
  <c r="K208" i="196"/>
  <c r="AB63" i="191"/>
  <c r="AC63" i="191" s="1"/>
  <c r="Y64" i="191"/>
  <c r="R63" i="191"/>
  <c r="S63" i="191" s="1"/>
  <c r="O64" i="191"/>
  <c r="O208" i="196"/>
  <c r="P64" i="191"/>
  <c r="Z64" i="191"/>
  <c r="L208" i="196"/>
  <c r="AA64" i="191"/>
  <c r="Q64" i="191"/>
  <c r="M208" i="196"/>
  <c r="N208" i="196"/>
  <c r="AE62" i="191" l="1"/>
  <c r="AG62" i="191" s="1"/>
  <c r="AD62" i="191"/>
  <c r="AF62" i="191" s="1"/>
  <c r="U62" i="191"/>
  <c r="W62" i="191" s="1"/>
  <c r="T62" i="191"/>
  <c r="V62" i="191" s="1"/>
  <c r="K209" i="196"/>
  <c r="AB64" i="191"/>
  <c r="AC64" i="191" s="1"/>
  <c r="Y65" i="191"/>
  <c r="R64" i="191"/>
  <c r="S64" i="191" s="1"/>
  <c r="O65" i="191"/>
  <c r="AA65" i="191"/>
  <c r="Q65" i="191"/>
  <c r="L209" i="196"/>
  <c r="O209" i="196"/>
  <c r="M209" i="196"/>
  <c r="Z65" i="191"/>
  <c r="N209" i="196"/>
  <c r="P65" i="191"/>
  <c r="AE63" i="191" l="1"/>
  <c r="AG63" i="191" s="1"/>
  <c r="AD63" i="191"/>
  <c r="AF63" i="191" s="1"/>
  <c r="U63" i="191"/>
  <c r="W63" i="191" s="1"/>
  <c r="T63" i="191"/>
  <c r="V63" i="191" s="1"/>
  <c r="K210" i="196"/>
  <c r="AB65" i="191"/>
  <c r="AC65" i="191" s="1"/>
  <c r="Y66" i="191"/>
  <c r="R65" i="191"/>
  <c r="S65" i="191" s="1"/>
  <c r="O66" i="191"/>
  <c r="M210" i="196"/>
  <c r="Z66" i="191"/>
  <c r="P66" i="191"/>
  <c r="O210" i="196"/>
  <c r="AA66" i="191"/>
  <c r="L210" i="196"/>
  <c r="N210" i="196"/>
  <c r="Q66" i="191"/>
  <c r="AE64" i="191" l="1"/>
  <c r="AG64" i="191" s="1"/>
  <c r="AD64" i="191"/>
  <c r="AF64" i="191" s="1"/>
  <c r="U64" i="191"/>
  <c r="W64" i="191" s="1"/>
  <c r="T64" i="191"/>
  <c r="V64" i="191" s="1"/>
  <c r="K211" i="196"/>
  <c r="AB66" i="191"/>
  <c r="AC66" i="191" s="1"/>
  <c r="Y67" i="191"/>
  <c r="R66" i="191"/>
  <c r="S66" i="191" s="1"/>
  <c r="O67" i="191"/>
  <c r="M211" i="196"/>
  <c r="L211" i="196"/>
  <c r="P67" i="191"/>
  <c r="Z67" i="191"/>
  <c r="N211" i="196"/>
  <c r="AA67" i="191"/>
  <c r="O211" i="196"/>
  <c r="Q67" i="191"/>
  <c r="AE65" i="191" l="1"/>
  <c r="AG65" i="191" s="1"/>
  <c r="AD65" i="191"/>
  <c r="AF65" i="191" s="1"/>
  <c r="U65" i="191"/>
  <c r="W65" i="191" s="1"/>
  <c r="T65" i="191"/>
  <c r="V65" i="191" s="1"/>
  <c r="K212" i="196"/>
  <c r="AB67" i="191"/>
  <c r="AC67" i="191" s="1"/>
  <c r="Y68" i="191"/>
  <c r="R67" i="191"/>
  <c r="S67" i="191" s="1"/>
  <c r="O68" i="191"/>
  <c r="O212" i="196"/>
  <c r="AA68" i="191"/>
  <c r="M212" i="196"/>
  <c r="Q68" i="191"/>
  <c r="Z68" i="191"/>
  <c r="P68" i="191"/>
  <c r="L212" i="196"/>
  <c r="N212" i="196"/>
  <c r="AE66" i="191" l="1"/>
  <c r="AG66" i="191" s="1"/>
  <c r="AD66" i="191"/>
  <c r="AF66" i="191" s="1"/>
  <c r="U66" i="191"/>
  <c r="W66" i="191" s="1"/>
  <c r="T66" i="191"/>
  <c r="V66" i="191" s="1"/>
  <c r="K213" i="196"/>
  <c r="AB68" i="191"/>
  <c r="AC68" i="191" s="1"/>
  <c r="Y69" i="191"/>
  <c r="R68" i="191"/>
  <c r="S68" i="191" s="1"/>
  <c r="O69" i="191"/>
  <c r="N213" i="196"/>
  <c r="Z69" i="191"/>
  <c r="L213" i="196"/>
  <c r="M213" i="196"/>
  <c r="O213" i="196"/>
  <c r="Q69" i="191"/>
  <c r="AA69" i="191"/>
  <c r="P69" i="191"/>
  <c r="AE67" i="191" l="1"/>
  <c r="AG67" i="191" s="1"/>
  <c r="AD67" i="191"/>
  <c r="AF67" i="191" s="1"/>
  <c r="U67" i="191"/>
  <c r="W67" i="191" s="1"/>
  <c r="T67" i="191"/>
  <c r="V67" i="191" s="1"/>
  <c r="K214" i="196"/>
  <c r="AB69" i="191"/>
  <c r="AC69" i="191" s="1"/>
  <c r="Y70" i="191"/>
  <c r="R69" i="191"/>
  <c r="S69" i="191" s="1"/>
  <c r="O70" i="191"/>
  <c r="N214" i="196"/>
  <c r="Z70" i="191"/>
  <c r="O214" i="196"/>
  <c r="AA70" i="191"/>
  <c r="P70" i="191"/>
  <c r="Q70" i="191"/>
  <c r="M214" i="196"/>
  <c r="L214" i="196"/>
  <c r="AE68" i="191" l="1"/>
  <c r="AG68" i="191" s="1"/>
  <c r="AD68" i="191"/>
  <c r="AF68" i="191" s="1"/>
  <c r="U68" i="191"/>
  <c r="W68" i="191" s="1"/>
  <c r="T68" i="191"/>
  <c r="V68" i="191" s="1"/>
  <c r="K215" i="196"/>
  <c r="AB70" i="191"/>
  <c r="AC70" i="191" s="1"/>
  <c r="Y71" i="191"/>
  <c r="R70" i="191"/>
  <c r="S70" i="191" s="1"/>
  <c r="O71" i="191"/>
  <c r="M215" i="196"/>
  <c r="P71" i="191"/>
  <c r="Z71" i="191"/>
  <c r="AA71" i="191"/>
  <c r="L215" i="196"/>
  <c r="Q71" i="191"/>
  <c r="O215" i="196"/>
  <c r="N215" i="196"/>
  <c r="AE69" i="191" l="1"/>
  <c r="AG69" i="191" s="1"/>
  <c r="AD69" i="191"/>
  <c r="AF69" i="191" s="1"/>
  <c r="U69" i="191"/>
  <c r="W69" i="191" s="1"/>
  <c r="T69" i="191"/>
  <c r="V69" i="191" s="1"/>
  <c r="K216" i="196"/>
  <c r="AB71" i="191"/>
  <c r="AC71" i="191" s="1"/>
  <c r="Y72" i="191"/>
  <c r="R71" i="191"/>
  <c r="S71" i="191" s="1"/>
  <c r="O72" i="191"/>
  <c r="AA72" i="191"/>
  <c r="M216" i="196"/>
  <c r="Z72" i="191"/>
  <c r="P72" i="191"/>
  <c r="L216" i="196"/>
  <c r="N216" i="196"/>
  <c r="Q72" i="191"/>
  <c r="O216" i="196"/>
  <c r="AE70" i="191" l="1"/>
  <c r="AG70" i="191" s="1"/>
  <c r="AD70" i="191"/>
  <c r="AF70" i="191" s="1"/>
  <c r="U70" i="191"/>
  <c r="W70" i="191" s="1"/>
  <c r="T70" i="191"/>
  <c r="V70" i="191" s="1"/>
  <c r="K217" i="196"/>
  <c r="AB72" i="191"/>
  <c r="AC72" i="191" s="1"/>
  <c r="Y73" i="191"/>
  <c r="R72" i="191"/>
  <c r="S72" i="191" s="1"/>
  <c r="O73" i="191"/>
  <c r="N217" i="196"/>
  <c r="M217" i="196"/>
  <c r="L217" i="196"/>
  <c r="AA73" i="191"/>
  <c r="Q73" i="191"/>
  <c r="Z73" i="191"/>
  <c r="P73" i="191"/>
  <c r="O217" i="196"/>
  <c r="U71" i="191" l="1"/>
  <c r="W71" i="191" s="1"/>
  <c r="T71" i="191"/>
  <c r="V71" i="191" s="1"/>
  <c r="AE71" i="191"/>
  <c r="AG71" i="191" s="1"/>
  <c r="AD71" i="191"/>
  <c r="AF71" i="191" s="1"/>
  <c r="K218" i="196"/>
  <c r="AB73" i="191"/>
  <c r="AC73" i="191" s="1"/>
  <c r="Y74" i="191"/>
  <c r="R73" i="191"/>
  <c r="S73" i="191" s="1"/>
  <c r="O74" i="191"/>
  <c r="O218" i="196"/>
  <c r="Q74" i="191"/>
  <c r="Z74" i="191"/>
  <c r="AA74" i="191"/>
  <c r="M218" i="196"/>
  <c r="L218" i="196"/>
  <c r="N218" i="196"/>
  <c r="P74" i="191"/>
  <c r="AE72" i="191" l="1"/>
  <c r="AG72" i="191" s="1"/>
  <c r="AD72" i="191"/>
  <c r="AF72" i="191" s="1"/>
  <c r="U72" i="191"/>
  <c r="W72" i="191" s="1"/>
  <c r="T72" i="191"/>
  <c r="V72" i="191" s="1"/>
  <c r="K219" i="196"/>
  <c r="AB74" i="191"/>
  <c r="AC74" i="191" s="1"/>
  <c r="Y75" i="191"/>
  <c r="R74" i="191"/>
  <c r="S74" i="191" s="1"/>
  <c r="O75" i="191"/>
  <c r="Z75" i="191"/>
  <c r="O219" i="196"/>
  <c r="L219" i="196"/>
  <c r="AA75" i="191"/>
  <c r="P75" i="191"/>
  <c r="M219" i="196"/>
  <c r="Q75" i="191"/>
  <c r="N219" i="196"/>
  <c r="AE73" i="191" l="1"/>
  <c r="AG73" i="191" s="1"/>
  <c r="AD73" i="191"/>
  <c r="AF73" i="191" s="1"/>
  <c r="U73" i="191"/>
  <c r="W73" i="191" s="1"/>
  <c r="T73" i="191"/>
  <c r="V73" i="191" s="1"/>
  <c r="AB75" i="191"/>
  <c r="AC75" i="191" s="1"/>
  <c r="Y76" i="191"/>
  <c r="R75" i="191"/>
  <c r="S75" i="191" s="1"/>
  <c r="O76" i="191"/>
  <c r="AA76" i="191"/>
  <c r="P76" i="191"/>
  <c r="Q76" i="191"/>
  <c r="Z76" i="191"/>
  <c r="AE74" i="191" l="1"/>
  <c r="AG74" i="191" s="1"/>
  <c r="AD74" i="191"/>
  <c r="AF74" i="191" s="1"/>
  <c r="U74" i="191"/>
  <c r="W74" i="191" s="1"/>
  <c r="T74" i="191"/>
  <c r="V74" i="191" s="1"/>
  <c r="AB76" i="191"/>
  <c r="AC76" i="191" s="1"/>
  <c r="Y77" i="191"/>
  <c r="R76" i="191"/>
  <c r="S76" i="191" s="1"/>
  <c r="O77" i="191"/>
  <c r="AA77" i="191"/>
  <c r="Z77" i="191"/>
  <c r="P77" i="191"/>
  <c r="Q77" i="191"/>
  <c r="AE75" i="191" l="1"/>
  <c r="AG75" i="191" s="1"/>
  <c r="AD75" i="191"/>
  <c r="AF75" i="191" s="1"/>
  <c r="U75" i="191"/>
  <c r="W75" i="191" s="1"/>
  <c r="T75" i="191"/>
  <c r="V75" i="191" s="1"/>
  <c r="AB77" i="191"/>
  <c r="AC77" i="191" s="1"/>
  <c r="Y78" i="191"/>
  <c r="R77" i="191"/>
  <c r="S77" i="191" s="1"/>
  <c r="O78" i="191"/>
  <c r="AA78" i="191"/>
  <c r="P78" i="191"/>
  <c r="Z78" i="191"/>
  <c r="Q78" i="191"/>
  <c r="AE76" i="191" l="1"/>
  <c r="AG76" i="191" s="1"/>
  <c r="AD76" i="191"/>
  <c r="AF76" i="191" s="1"/>
  <c r="U76" i="191"/>
  <c r="W76" i="191" s="1"/>
  <c r="T76" i="191"/>
  <c r="V76" i="191" s="1"/>
  <c r="AB78" i="191"/>
  <c r="AC78" i="191" s="1"/>
  <c r="Y79" i="191"/>
  <c r="R78" i="191"/>
  <c r="S78" i="191" s="1"/>
  <c r="O79" i="191"/>
  <c r="Z79" i="191"/>
  <c r="AA79" i="191"/>
  <c r="Q79" i="191"/>
  <c r="P79" i="191"/>
  <c r="AE77" i="191" l="1"/>
  <c r="AG77" i="191" s="1"/>
  <c r="AD77" i="191"/>
  <c r="AF77" i="191" s="1"/>
  <c r="U77" i="191"/>
  <c r="W77" i="191" s="1"/>
  <c r="T77" i="191"/>
  <c r="V77" i="191" s="1"/>
  <c r="AB79" i="191"/>
  <c r="AC79" i="191" s="1"/>
  <c r="Y80" i="191"/>
  <c r="R79" i="191"/>
  <c r="S79" i="191" s="1"/>
  <c r="O80" i="191"/>
  <c r="P80" i="191"/>
  <c r="AA80" i="191"/>
  <c r="Z80" i="191"/>
  <c r="Q80" i="191"/>
  <c r="AE78" i="191" l="1"/>
  <c r="AG78" i="191" s="1"/>
  <c r="AD78" i="191"/>
  <c r="AF78" i="191" s="1"/>
  <c r="U78" i="191"/>
  <c r="W78" i="191" s="1"/>
  <c r="T78" i="191"/>
  <c r="V78" i="191" s="1"/>
  <c r="AB80" i="191"/>
  <c r="AC80" i="191" s="1"/>
  <c r="Y81" i="191"/>
  <c r="R80" i="191"/>
  <c r="S80" i="191" s="1"/>
  <c r="O81" i="191"/>
  <c r="Z81" i="191"/>
  <c r="AA81" i="191"/>
  <c r="Q81" i="191"/>
  <c r="P81" i="191"/>
  <c r="AE79" i="191" l="1"/>
  <c r="AG79" i="191" s="1"/>
  <c r="AD79" i="191"/>
  <c r="AF79" i="191" s="1"/>
  <c r="U79" i="191"/>
  <c r="W79" i="191" s="1"/>
  <c r="T79" i="191"/>
  <c r="V79" i="191" s="1"/>
  <c r="AB81" i="191"/>
  <c r="AC81" i="191" s="1"/>
  <c r="Y82" i="191"/>
  <c r="R81" i="191"/>
  <c r="S81" i="191" s="1"/>
  <c r="O82" i="191"/>
  <c r="P82" i="191"/>
  <c r="Q82" i="191"/>
  <c r="AA82" i="191"/>
  <c r="Z82" i="191"/>
  <c r="AE80" i="191" l="1"/>
  <c r="AG80" i="191" s="1"/>
  <c r="AD80" i="191"/>
  <c r="AF80" i="191" s="1"/>
  <c r="U80" i="191"/>
  <c r="W80" i="191" s="1"/>
  <c r="T80" i="191"/>
  <c r="V80" i="191" s="1"/>
  <c r="AB82" i="191"/>
  <c r="AC82" i="191" s="1"/>
  <c r="Y83" i="191"/>
  <c r="R82" i="191"/>
  <c r="S82" i="191" s="1"/>
  <c r="O83" i="191"/>
  <c r="Z83" i="191"/>
  <c r="Q83" i="191"/>
  <c r="P83" i="191"/>
  <c r="AA83" i="191"/>
  <c r="AE81" i="191" l="1"/>
  <c r="AG81" i="191" s="1"/>
  <c r="AD81" i="191"/>
  <c r="AF81" i="191" s="1"/>
  <c r="U81" i="191"/>
  <c r="W81" i="191" s="1"/>
  <c r="T81" i="191"/>
  <c r="V81" i="191" s="1"/>
  <c r="AB83" i="191"/>
  <c r="AC83" i="191" s="1"/>
  <c r="Y84" i="191"/>
  <c r="R83" i="191"/>
  <c r="S83" i="191" s="1"/>
  <c r="O84" i="191"/>
  <c r="Z84" i="191"/>
  <c r="Q84" i="191"/>
  <c r="AA84" i="191"/>
  <c r="P84" i="191"/>
  <c r="AE82" i="191" l="1"/>
  <c r="AG82" i="191" s="1"/>
  <c r="AD82" i="191"/>
  <c r="AF82" i="191" s="1"/>
  <c r="U82" i="191"/>
  <c r="W82" i="191" s="1"/>
  <c r="T82" i="191"/>
  <c r="V82" i="191" s="1"/>
  <c r="AB84" i="191"/>
  <c r="AC84" i="191" s="1"/>
  <c r="Y85" i="191"/>
  <c r="R84" i="191"/>
  <c r="S84" i="191" s="1"/>
  <c r="O85" i="191"/>
  <c r="Z85" i="191"/>
  <c r="AA85" i="191"/>
  <c r="Q85" i="191"/>
  <c r="P85" i="191"/>
  <c r="AE83" i="191" l="1"/>
  <c r="AG83" i="191" s="1"/>
  <c r="AD83" i="191"/>
  <c r="AF83" i="191" s="1"/>
  <c r="U83" i="191"/>
  <c r="W83" i="191" s="1"/>
  <c r="T83" i="191"/>
  <c r="V83" i="191" s="1"/>
  <c r="AB85" i="191"/>
  <c r="AC85" i="191" s="1"/>
  <c r="Y86" i="191"/>
  <c r="R85" i="191"/>
  <c r="S85" i="191" s="1"/>
  <c r="O86" i="191"/>
  <c r="Z86" i="191"/>
  <c r="AA86" i="191"/>
  <c r="P86" i="191"/>
  <c r="Q86" i="191"/>
  <c r="AE84" i="191" l="1"/>
  <c r="AG84" i="191" s="1"/>
  <c r="AD84" i="191"/>
  <c r="AF84" i="191" s="1"/>
  <c r="U84" i="191"/>
  <c r="W84" i="191" s="1"/>
  <c r="T84" i="191"/>
  <c r="V84" i="191" s="1"/>
  <c r="AB86" i="191"/>
  <c r="AC86" i="191" s="1"/>
  <c r="Y87" i="191"/>
  <c r="R86" i="191"/>
  <c r="S86" i="191" s="1"/>
  <c r="O87" i="191"/>
  <c r="Z87" i="191"/>
  <c r="AA87" i="191"/>
  <c r="Q87" i="191"/>
  <c r="P87" i="191"/>
  <c r="AE85" i="191" l="1"/>
  <c r="AG85" i="191" s="1"/>
  <c r="AD85" i="191"/>
  <c r="AF85" i="191" s="1"/>
  <c r="U85" i="191"/>
  <c r="W85" i="191" s="1"/>
  <c r="T85" i="191"/>
  <c r="V85" i="191" s="1"/>
  <c r="AB87" i="191"/>
  <c r="AC87" i="191" s="1"/>
  <c r="Y88" i="191"/>
  <c r="R87" i="191"/>
  <c r="S87" i="191" s="1"/>
  <c r="O88" i="191"/>
  <c r="Q88" i="191"/>
  <c r="AA88" i="191"/>
  <c r="P88" i="191"/>
  <c r="Z88" i="191"/>
  <c r="AE86" i="191" l="1"/>
  <c r="AG86" i="191" s="1"/>
  <c r="AD86" i="191"/>
  <c r="AF86" i="191" s="1"/>
  <c r="U86" i="191"/>
  <c r="W86" i="191" s="1"/>
  <c r="T86" i="191"/>
  <c r="V86" i="191" s="1"/>
  <c r="AB88" i="191"/>
  <c r="AC88" i="191" s="1"/>
  <c r="Y89" i="191"/>
  <c r="R88" i="191"/>
  <c r="S88" i="191" s="1"/>
  <c r="O89" i="191"/>
  <c r="Q89" i="191"/>
  <c r="AA89" i="191"/>
  <c r="P89" i="191"/>
  <c r="Z89" i="191"/>
  <c r="AE87" i="191" l="1"/>
  <c r="AG87" i="191" s="1"/>
  <c r="AD87" i="191"/>
  <c r="AF87" i="191" s="1"/>
  <c r="U87" i="191"/>
  <c r="W87" i="191" s="1"/>
  <c r="T87" i="191"/>
  <c r="V87" i="191" s="1"/>
  <c r="AB89" i="191"/>
  <c r="AC89" i="191" s="1"/>
  <c r="Y90" i="191"/>
  <c r="R89" i="191"/>
  <c r="S89" i="191" s="1"/>
  <c r="O90" i="191"/>
  <c r="P90" i="191"/>
  <c r="Q90" i="191"/>
  <c r="AA90" i="191"/>
  <c r="Z90" i="191"/>
  <c r="AE88" i="191" l="1"/>
  <c r="AG88" i="191" s="1"/>
  <c r="AD88" i="191"/>
  <c r="AF88" i="191" s="1"/>
  <c r="U88" i="191"/>
  <c r="W88" i="191" s="1"/>
  <c r="T88" i="191"/>
  <c r="V88" i="191" s="1"/>
  <c r="AB90" i="191"/>
  <c r="AC90" i="191" s="1"/>
  <c r="Y91" i="191"/>
  <c r="R90" i="191"/>
  <c r="S90" i="191" s="1"/>
  <c r="O91" i="191"/>
  <c r="Z91" i="191"/>
  <c r="Q91" i="191"/>
  <c r="AA91" i="191"/>
  <c r="P91" i="191"/>
  <c r="AE89" i="191" l="1"/>
  <c r="AG89" i="191" s="1"/>
  <c r="AD89" i="191"/>
  <c r="AF89" i="191" s="1"/>
  <c r="U89" i="191"/>
  <c r="W89" i="191" s="1"/>
  <c r="T89" i="191"/>
  <c r="V89" i="191" s="1"/>
  <c r="AB91" i="191"/>
  <c r="AC91" i="191" s="1"/>
  <c r="Y92" i="191"/>
  <c r="R91" i="191"/>
  <c r="S91" i="191" s="1"/>
  <c r="O92" i="191"/>
  <c r="P92" i="191"/>
  <c r="AA92" i="191"/>
  <c r="Q92" i="191"/>
  <c r="Z92" i="191"/>
  <c r="AE90" i="191" l="1"/>
  <c r="AG90" i="191" s="1"/>
  <c r="AD90" i="191"/>
  <c r="AF90" i="191" s="1"/>
  <c r="U90" i="191"/>
  <c r="W90" i="191" s="1"/>
  <c r="T90" i="191"/>
  <c r="V90" i="191" s="1"/>
  <c r="AB92" i="191"/>
  <c r="AC92" i="191" s="1"/>
  <c r="Y93" i="191"/>
  <c r="R92" i="191"/>
  <c r="S92" i="191" s="1"/>
  <c r="O93" i="191"/>
  <c r="Q93" i="191"/>
  <c r="P93" i="191"/>
  <c r="AA93" i="191"/>
  <c r="Z93" i="191"/>
  <c r="AE91" i="191" l="1"/>
  <c r="AG91" i="191" s="1"/>
  <c r="AD91" i="191"/>
  <c r="AF91" i="191" s="1"/>
  <c r="U91" i="191"/>
  <c r="W91" i="191" s="1"/>
  <c r="T91" i="191"/>
  <c r="V91" i="191" s="1"/>
  <c r="AB93" i="191"/>
  <c r="AC93" i="191" s="1"/>
  <c r="Y94" i="191"/>
  <c r="R93" i="191"/>
  <c r="S93" i="191" s="1"/>
  <c r="O94" i="191"/>
  <c r="Z94" i="191"/>
  <c r="P94" i="191"/>
  <c r="AA94" i="191"/>
  <c r="Q94" i="191"/>
  <c r="AE92" i="191" l="1"/>
  <c r="AG92" i="191" s="1"/>
  <c r="AD92" i="191"/>
  <c r="AF92" i="191" s="1"/>
  <c r="U92" i="191"/>
  <c r="W92" i="191" s="1"/>
  <c r="T92" i="191"/>
  <c r="V92" i="191" s="1"/>
  <c r="AB94" i="191"/>
  <c r="AC94" i="191" s="1"/>
  <c r="Y95" i="191"/>
  <c r="R94" i="191"/>
  <c r="S94" i="191" s="1"/>
  <c r="O95" i="191"/>
  <c r="Z95" i="191"/>
  <c r="AA95" i="191"/>
  <c r="Q95" i="191"/>
  <c r="P95" i="191"/>
  <c r="AE93" i="191" l="1"/>
  <c r="AG93" i="191" s="1"/>
  <c r="AD93" i="191"/>
  <c r="AF93" i="191" s="1"/>
  <c r="U93" i="191"/>
  <c r="W93" i="191" s="1"/>
  <c r="T93" i="191"/>
  <c r="V93" i="191" s="1"/>
  <c r="AB95" i="191"/>
  <c r="AC95" i="191" s="1"/>
  <c r="Y96" i="191"/>
  <c r="R95" i="191"/>
  <c r="S95" i="191" s="1"/>
  <c r="O96" i="191"/>
  <c r="Z96" i="191"/>
  <c r="P96" i="191"/>
  <c r="AA96" i="191"/>
  <c r="Q96" i="191"/>
  <c r="AE94" i="191" l="1"/>
  <c r="AG94" i="191" s="1"/>
  <c r="AD94" i="191"/>
  <c r="AF94" i="191" s="1"/>
  <c r="U94" i="191"/>
  <c r="W94" i="191" s="1"/>
  <c r="T94" i="191"/>
  <c r="V94" i="191" s="1"/>
  <c r="AB96" i="191"/>
  <c r="AC96" i="191" s="1"/>
  <c r="Y97" i="191"/>
  <c r="R96" i="191"/>
  <c r="S96" i="191" s="1"/>
  <c r="O97" i="191"/>
  <c r="Z97" i="191"/>
  <c r="Q97" i="191"/>
  <c r="AA97" i="191"/>
  <c r="P97" i="191"/>
  <c r="AE95" i="191" l="1"/>
  <c r="AG95" i="191" s="1"/>
  <c r="AD95" i="191"/>
  <c r="AF95" i="191" s="1"/>
  <c r="U95" i="191"/>
  <c r="W95" i="191" s="1"/>
  <c r="T95" i="191"/>
  <c r="V95" i="191" s="1"/>
  <c r="AB97" i="191"/>
  <c r="AC97" i="191" s="1"/>
  <c r="Y98" i="191"/>
  <c r="R97" i="191"/>
  <c r="S97" i="191" s="1"/>
  <c r="O98" i="191"/>
  <c r="Z98" i="191"/>
  <c r="Q98" i="191"/>
  <c r="AA98" i="191"/>
  <c r="P98" i="191"/>
  <c r="AE96" i="191" l="1"/>
  <c r="AG96" i="191" s="1"/>
  <c r="AD96" i="191"/>
  <c r="AF96" i="191" s="1"/>
  <c r="U96" i="191"/>
  <c r="W96" i="191" s="1"/>
  <c r="T96" i="191"/>
  <c r="V96" i="191" s="1"/>
  <c r="AB98" i="191"/>
  <c r="AC98" i="191" s="1"/>
  <c r="Y99" i="191"/>
  <c r="R98" i="191"/>
  <c r="S98" i="191" s="1"/>
  <c r="O99" i="191"/>
  <c r="Z99" i="191"/>
  <c r="P99" i="191"/>
  <c r="Q99" i="191"/>
  <c r="AA99" i="191"/>
  <c r="U97" i="191" l="1"/>
  <c r="W97" i="191" s="1"/>
  <c r="T97" i="191"/>
  <c r="V97" i="191" s="1"/>
  <c r="AE97" i="191"/>
  <c r="AG97" i="191" s="1"/>
  <c r="AD97" i="191"/>
  <c r="AF97" i="191" s="1"/>
  <c r="AB99" i="191"/>
  <c r="AC99" i="191" s="1"/>
  <c r="Y100" i="191"/>
  <c r="R99" i="191"/>
  <c r="S99" i="191" s="1"/>
  <c r="O100" i="191"/>
  <c r="Z100" i="191"/>
  <c r="AA100" i="191"/>
  <c r="Q100" i="191"/>
  <c r="P100" i="191"/>
  <c r="U98" i="191" l="1"/>
  <c r="W98" i="191" s="1"/>
  <c r="T98" i="191"/>
  <c r="V98" i="191" s="1"/>
  <c r="AE98" i="191"/>
  <c r="AG98" i="191" s="1"/>
  <c r="AD98" i="191"/>
  <c r="AF98" i="191" s="1"/>
  <c r="AB100" i="191"/>
  <c r="AC100" i="191" s="1"/>
  <c r="Y101" i="191"/>
  <c r="R100" i="191"/>
  <c r="S100" i="191" s="1"/>
  <c r="O101" i="191"/>
  <c r="Q101" i="191"/>
  <c r="P101" i="191"/>
  <c r="Z101" i="191"/>
  <c r="AA101" i="191"/>
  <c r="U99" i="191" l="1"/>
  <c r="W99" i="191" s="1"/>
  <c r="T99" i="191"/>
  <c r="V99" i="191" s="1"/>
  <c r="AE99" i="191"/>
  <c r="AG99" i="191" s="1"/>
  <c r="AD99" i="191"/>
  <c r="AF99" i="191" s="1"/>
  <c r="AB101" i="191"/>
  <c r="AC101" i="191" s="1"/>
  <c r="Y102" i="191"/>
  <c r="R101" i="191"/>
  <c r="S101" i="191" s="1"/>
  <c r="O102" i="191"/>
  <c r="Q102" i="191"/>
  <c r="AA102" i="191"/>
  <c r="P102" i="191"/>
  <c r="Z102" i="191"/>
  <c r="U100" i="191" l="1"/>
  <c r="W100" i="191" s="1"/>
  <c r="T100" i="191"/>
  <c r="V100" i="191" s="1"/>
  <c r="AE100" i="191"/>
  <c r="AG100" i="191" s="1"/>
  <c r="AD100" i="191"/>
  <c r="AF100" i="191" s="1"/>
  <c r="AB102" i="191"/>
  <c r="AC102" i="191" s="1"/>
  <c r="Y103" i="191"/>
  <c r="R102" i="191"/>
  <c r="S102" i="191" s="1"/>
  <c r="O103" i="191"/>
  <c r="Z103" i="191"/>
  <c r="AA103" i="191"/>
  <c r="Q103" i="191"/>
  <c r="P103" i="191"/>
  <c r="U101" i="191" l="1"/>
  <c r="W101" i="191" s="1"/>
  <c r="T101" i="191"/>
  <c r="V101" i="191" s="1"/>
  <c r="AE101" i="191"/>
  <c r="AG101" i="191" s="1"/>
  <c r="AD101" i="191"/>
  <c r="AF101" i="191" s="1"/>
  <c r="AB103" i="191"/>
  <c r="AC103" i="191" s="1"/>
  <c r="Y104" i="191"/>
  <c r="R103" i="191"/>
  <c r="S103" i="191" s="1"/>
  <c r="O104" i="191"/>
  <c r="Z104" i="191"/>
  <c r="AA104" i="191"/>
  <c r="P104" i="191"/>
  <c r="Q104" i="191"/>
  <c r="U102" i="191" l="1"/>
  <c r="W102" i="191" s="1"/>
  <c r="T102" i="191"/>
  <c r="V102" i="191" s="1"/>
  <c r="AE102" i="191"/>
  <c r="AG102" i="191" s="1"/>
  <c r="AD102" i="191"/>
  <c r="AF102" i="191" s="1"/>
  <c r="AB104" i="191"/>
  <c r="AC104" i="191" s="1"/>
  <c r="Y105" i="191"/>
  <c r="R104" i="191"/>
  <c r="S104" i="191" s="1"/>
  <c r="O105" i="191"/>
  <c r="Q105" i="191"/>
  <c r="Z105" i="191"/>
  <c r="AA105" i="191"/>
  <c r="P105" i="191"/>
  <c r="U103" i="191" l="1"/>
  <c r="W103" i="191" s="1"/>
  <c r="T103" i="191"/>
  <c r="V103" i="191" s="1"/>
  <c r="AE103" i="191"/>
  <c r="AG103" i="191" s="1"/>
  <c r="AD103" i="191"/>
  <c r="AF103" i="191" s="1"/>
  <c r="AB105" i="191"/>
  <c r="AC105" i="191" s="1"/>
  <c r="Y106" i="191"/>
  <c r="R105" i="191"/>
  <c r="S105" i="191" s="1"/>
  <c r="O106" i="191"/>
  <c r="P106" i="191"/>
  <c r="AA106" i="191"/>
  <c r="Q106" i="191"/>
  <c r="Z106" i="191"/>
  <c r="AE104" i="191" l="1"/>
  <c r="AG104" i="191" s="1"/>
  <c r="U104" i="191"/>
  <c r="W104" i="191" s="1"/>
  <c r="T104" i="191"/>
  <c r="V104" i="191" s="1"/>
  <c r="AD104" i="191"/>
  <c r="AF104" i="191" s="1"/>
  <c r="AB106" i="191"/>
  <c r="AC106" i="191" s="1"/>
  <c r="Y107" i="191"/>
  <c r="R106" i="191"/>
  <c r="S106" i="191" s="1"/>
  <c r="O107" i="191"/>
  <c r="Z107" i="191"/>
  <c r="P107" i="191"/>
  <c r="Q107" i="191"/>
  <c r="AA107" i="191"/>
  <c r="U105" i="191" l="1"/>
  <c r="W105" i="191" s="1"/>
  <c r="T105" i="191"/>
  <c r="V105" i="191" s="1"/>
  <c r="AE105" i="191"/>
  <c r="AG105" i="191" s="1"/>
  <c r="AD105" i="191"/>
  <c r="AF105" i="191" s="1"/>
  <c r="AB107" i="191"/>
  <c r="AC107" i="191" s="1"/>
  <c r="Y108" i="191"/>
  <c r="R107" i="191"/>
  <c r="S107" i="191" s="1"/>
  <c r="O108" i="191"/>
  <c r="P108" i="191"/>
  <c r="AA108" i="191"/>
  <c r="Z108" i="191"/>
  <c r="Q108" i="191"/>
  <c r="AE106" i="191" l="1"/>
  <c r="AG106" i="191" s="1"/>
  <c r="U106" i="191"/>
  <c r="W106" i="191" s="1"/>
  <c r="T106" i="191"/>
  <c r="V106" i="191" s="1"/>
  <c r="AD106" i="191"/>
  <c r="AF106" i="191" s="1"/>
  <c r="AB108" i="191"/>
  <c r="AC108" i="191" s="1"/>
  <c r="Y109" i="191"/>
  <c r="R108" i="191"/>
  <c r="S108" i="191" s="1"/>
  <c r="O109" i="191"/>
  <c r="Q109" i="191"/>
  <c r="P109" i="191"/>
  <c r="Z109" i="191"/>
  <c r="AA109" i="191"/>
  <c r="AE107" i="191" l="1"/>
  <c r="AG107" i="191" s="1"/>
  <c r="U107" i="191"/>
  <c r="W107" i="191" s="1"/>
  <c r="T107" i="191"/>
  <c r="V107" i="191" s="1"/>
  <c r="AD107" i="191"/>
  <c r="AF107" i="191" s="1"/>
  <c r="AB109" i="191"/>
  <c r="AC109" i="191" s="1"/>
  <c r="Y110" i="191"/>
  <c r="R109" i="191"/>
  <c r="S109" i="191" s="1"/>
  <c r="O110" i="191"/>
  <c r="Z110" i="191"/>
  <c r="P110" i="191"/>
  <c r="Q110" i="191"/>
  <c r="AA110" i="191"/>
  <c r="U108" i="191" l="1"/>
  <c r="W108" i="191" s="1"/>
  <c r="T108" i="191"/>
  <c r="V108" i="191" s="1"/>
  <c r="AE108" i="191"/>
  <c r="AG108" i="191" s="1"/>
  <c r="AD108" i="191"/>
  <c r="AF108" i="191" s="1"/>
  <c r="AB110" i="191"/>
  <c r="AC110" i="191" s="1"/>
  <c r="Y111" i="191"/>
  <c r="R110" i="191"/>
  <c r="S110" i="191" s="1"/>
  <c r="O111" i="191"/>
  <c r="Z111" i="191"/>
  <c r="AA111" i="191"/>
  <c r="Q111" i="191"/>
  <c r="P111" i="191"/>
  <c r="U109" i="191" l="1"/>
  <c r="W109" i="191" s="1"/>
  <c r="T109" i="191"/>
  <c r="V109" i="191" s="1"/>
  <c r="AE109" i="191"/>
  <c r="AG109" i="191" s="1"/>
  <c r="AD109" i="191"/>
  <c r="AF109" i="191" s="1"/>
  <c r="AB111" i="191"/>
  <c r="AC111" i="191" s="1"/>
  <c r="Y112" i="191"/>
  <c r="R111" i="191"/>
  <c r="S111" i="191" s="1"/>
  <c r="O112" i="191"/>
  <c r="P112" i="191"/>
  <c r="Q112" i="191"/>
  <c r="Z112" i="191"/>
  <c r="AA112" i="191"/>
  <c r="U110" i="191" l="1"/>
  <c r="W110" i="191" s="1"/>
  <c r="T110" i="191"/>
  <c r="V110" i="191" s="1"/>
  <c r="AE110" i="191"/>
  <c r="AG110" i="191" s="1"/>
  <c r="AD110" i="191"/>
  <c r="AF110" i="191" s="1"/>
  <c r="AB112" i="191"/>
  <c r="AC112" i="191" s="1"/>
  <c r="Y113" i="191"/>
  <c r="R112" i="191"/>
  <c r="S112" i="191" s="1"/>
  <c r="O113" i="191"/>
  <c r="P113" i="191"/>
  <c r="Q113" i="191"/>
  <c r="AA113" i="191"/>
  <c r="Z113" i="191"/>
  <c r="U111" i="191" l="1"/>
  <c r="W111" i="191" s="1"/>
  <c r="T111" i="191"/>
  <c r="V111" i="191" s="1"/>
  <c r="AE111" i="191"/>
  <c r="AG111" i="191" s="1"/>
  <c r="AD111" i="191"/>
  <c r="AF111" i="191" s="1"/>
  <c r="AB113" i="191"/>
  <c r="AC113" i="191" s="1"/>
  <c r="Y114" i="191"/>
  <c r="R113" i="191"/>
  <c r="S113" i="191" s="1"/>
  <c r="O114" i="191"/>
  <c r="Z114" i="191"/>
  <c r="P114" i="191"/>
  <c r="AA114" i="191"/>
  <c r="Q114" i="191"/>
  <c r="U112" i="191" l="1"/>
  <c r="W112" i="191" s="1"/>
  <c r="T112" i="191"/>
  <c r="V112" i="191" s="1"/>
  <c r="AE112" i="191"/>
  <c r="AG112" i="191" s="1"/>
  <c r="AD112" i="191"/>
  <c r="AF112" i="191" s="1"/>
  <c r="AB114" i="191"/>
  <c r="AC114" i="191" s="1"/>
  <c r="Y115" i="191"/>
  <c r="R114" i="191"/>
  <c r="S114" i="191" s="1"/>
  <c r="O115" i="191"/>
  <c r="P115" i="191"/>
  <c r="Q115" i="191"/>
  <c r="Z115" i="191"/>
  <c r="AA115" i="191"/>
  <c r="U113" i="191" l="1"/>
  <c r="W113" i="191" s="1"/>
  <c r="T113" i="191"/>
  <c r="V113" i="191" s="1"/>
  <c r="AE113" i="191"/>
  <c r="AG113" i="191" s="1"/>
  <c r="AD113" i="191"/>
  <c r="AF113" i="191" s="1"/>
  <c r="AB115" i="191"/>
  <c r="AC115" i="191" s="1"/>
  <c r="Y116" i="191"/>
  <c r="R115" i="191"/>
  <c r="S115" i="191" s="1"/>
  <c r="O116" i="191"/>
  <c r="Z116" i="191"/>
  <c r="AA116" i="191"/>
  <c r="Q116" i="191"/>
  <c r="P116" i="191"/>
  <c r="U114" i="191" l="1"/>
  <c r="W114" i="191" s="1"/>
  <c r="T114" i="191"/>
  <c r="V114" i="191" s="1"/>
  <c r="AE114" i="191"/>
  <c r="AG114" i="191" s="1"/>
  <c r="AD114" i="191"/>
  <c r="AF114" i="191" s="1"/>
  <c r="AB116" i="191"/>
  <c r="AC116" i="191" s="1"/>
  <c r="Y117" i="191"/>
  <c r="R116" i="191"/>
  <c r="S116" i="191" s="1"/>
  <c r="O117" i="191"/>
  <c r="Z117" i="191"/>
  <c r="Q117" i="191"/>
  <c r="AA117" i="191"/>
  <c r="P117" i="191"/>
  <c r="U115" i="191" l="1"/>
  <c r="W115" i="191" s="1"/>
  <c r="T115" i="191"/>
  <c r="V115" i="191" s="1"/>
  <c r="AE115" i="191"/>
  <c r="AG115" i="191" s="1"/>
  <c r="AD115" i="191"/>
  <c r="AF115" i="191" s="1"/>
  <c r="AB117" i="191"/>
  <c r="AC117" i="191" s="1"/>
  <c r="Y118" i="191"/>
  <c r="R117" i="191"/>
  <c r="S117" i="191" s="1"/>
  <c r="O118" i="191"/>
  <c r="Z118" i="191"/>
  <c r="P118" i="191"/>
  <c r="AA118" i="191"/>
  <c r="Q118" i="191"/>
  <c r="U116" i="191" l="1"/>
  <c r="W116" i="191" s="1"/>
  <c r="T116" i="191"/>
  <c r="V116" i="191" s="1"/>
  <c r="AE116" i="191"/>
  <c r="AG116" i="191" s="1"/>
  <c r="AD116" i="191"/>
  <c r="AF116" i="191" s="1"/>
  <c r="AB118" i="191"/>
  <c r="AC118" i="191" s="1"/>
  <c r="Y119" i="191"/>
  <c r="R118" i="191"/>
  <c r="S118" i="191" s="1"/>
  <c r="O119" i="191"/>
  <c r="Q119" i="191"/>
  <c r="Z119" i="191"/>
  <c r="AA119" i="191"/>
  <c r="P119" i="191"/>
  <c r="U117" i="191" l="1"/>
  <c r="W117" i="191" s="1"/>
  <c r="T117" i="191"/>
  <c r="V117" i="191" s="1"/>
  <c r="AE117" i="191"/>
  <c r="AG117" i="191" s="1"/>
  <c r="AD117" i="191"/>
  <c r="AF117" i="191" s="1"/>
  <c r="AB119" i="191"/>
  <c r="AC119" i="191" s="1"/>
  <c r="Y120" i="191"/>
  <c r="R119" i="191"/>
  <c r="S119" i="191" s="1"/>
  <c r="O120" i="191"/>
  <c r="P120" i="191"/>
  <c r="AA120" i="191"/>
  <c r="Z120" i="191"/>
  <c r="Q120" i="191"/>
  <c r="U118" i="191" l="1"/>
  <c r="W118" i="191" s="1"/>
  <c r="T118" i="191"/>
  <c r="V118" i="191" s="1"/>
  <c r="AE118" i="191"/>
  <c r="AG118" i="191" s="1"/>
  <c r="AD118" i="191"/>
  <c r="AF118" i="191" s="1"/>
  <c r="AB120" i="191"/>
  <c r="Y121" i="191"/>
  <c r="R120" i="191"/>
  <c r="S120" i="191" s="1"/>
  <c r="O121" i="191"/>
  <c r="Z121" i="191"/>
  <c r="P121" i="191"/>
  <c r="Q121" i="191"/>
  <c r="AA121" i="191"/>
  <c r="AC120" i="191"/>
  <c r="U119" i="191" l="1"/>
  <c r="W119" i="191" s="1"/>
  <c r="T119" i="191"/>
  <c r="V119" i="191" s="1"/>
  <c r="AE119" i="191"/>
  <c r="AG119" i="191" s="1"/>
  <c r="AD119" i="191"/>
  <c r="AF119" i="191" s="1"/>
  <c r="AB121" i="191"/>
  <c r="Y122" i="191"/>
  <c r="R121" i="191"/>
  <c r="S121" i="191" s="1"/>
  <c r="O122" i="191"/>
  <c r="Q122" i="191"/>
  <c r="Z122" i="191"/>
  <c r="P122" i="191"/>
  <c r="AA122" i="191"/>
  <c r="AC121" i="191"/>
  <c r="U120" i="191" l="1"/>
  <c r="W120" i="191" s="1"/>
  <c r="T120" i="191"/>
  <c r="V120" i="191" s="1"/>
  <c r="AE120" i="191"/>
  <c r="AG120" i="191" s="1"/>
  <c r="AD120" i="191"/>
  <c r="AF120" i="191" s="1"/>
  <c r="AB122" i="191"/>
  <c r="Y123" i="191"/>
  <c r="R122" i="191"/>
  <c r="S122" i="191" s="1"/>
  <c r="O123" i="191"/>
  <c r="Q123" i="191"/>
  <c r="Z123" i="191"/>
  <c r="AA123" i="191"/>
  <c r="P123" i="191"/>
  <c r="AC122" i="191"/>
  <c r="AE121" i="191" l="1"/>
  <c r="AG121" i="191" s="1"/>
  <c r="U121" i="191"/>
  <c r="W121" i="191" s="1"/>
  <c r="T121" i="191"/>
  <c r="V121" i="191" s="1"/>
  <c r="AD121" i="191"/>
  <c r="AF121" i="191" s="1"/>
  <c r="AB123" i="191"/>
  <c r="Y124" i="191"/>
  <c r="R123" i="191"/>
  <c r="S123" i="191" s="1"/>
  <c r="O124" i="191"/>
  <c r="Z124" i="191"/>
  <c r="AA124" i="191"/>
  <c r="Q124" i="191"/>
  <c r="AC123" i="191"/>
  <c r="P124" i="191"/>
  <c r="U122" i="191" l="1"/>
  <c r="W122" i="191" s="1"/>
  <c r="T122" i="191"/>
  <c r="V122" i="191" s="1"/>
  <c r="AE122" i="191"/>
  <c r="AG122" i="191" s="1"/>
  <c r="AD122" i="191"/>
  <c r="AF122" i="191" s="1"/>
  <c r="AB124" i="191"/>
  <c r="Y125" i="191"/>
  <c r="R124" i="191"/>
  <c r="S124" i="191" s="1"/>
  <c r="O125" i="191"/>
  <c r="Z125" i="191"/>
  <c r="Q125" i="191"/>
  <c r="P125" i="191"/>
  <c r="AA125" i="191"/>
  <c r="AC124" i="191"/>
  <c r="AE123" i="191" l="1"/>
  <c r="AG123" i="191" s="1"/>
  <c r="U123" i="191"/>
  <c r="W123" i="191" s="1"/>
  <c r="T123" i="191"/>
  <c r="V123" i="191" s="1"/>
  <c r="AD123" i="191"/>
  <c r="AF123" i="191" s="1"/>
  <c r="AB125" i="191"/>
  <c r="Y126" i="191"/>
  <c r="R125" i="191"/>
  <c r="S125" i="191" s="1"/>
  <c r="O126" i="191"/>
  <c r="P126" i="191"/>
  <c r="AA126" i="191"/>
  <c r="Q126" i="191"/>
  <c r="Z126" i="191"/>
  <c r="AC125" i="191"/>
  <c r="AE124" i="191" l="1"/>
  <c r="AG124" i="191" s="1"/>
  <c r="U124" i="191"/>
  <c r="W124" i="191" s="1"/>
  <c r="T124" i="191"/>
  <c r="V124" i="191" s="1"/>
  <c r="AD124" i="191"/>
  <c r="AF124" i="191" s="1"/>
  <c r="AB126" i="191"/>
  <c r="Y127" i="191"/>
  <c r="R126" i="191"/>
  <c r="S126" i="191" s="1"/>
  <c r="O127" i="191"/>
  <c r="P127" i="191"/>
  <c r="AA127" i="191"/>
  <c r="Q127" i="191"/>
  <c r="Z127" i="191"/>
  <c r="AC126" i="191"/>
  <c r="AE125" i="191" l="1"/>
  <c r="AG125" i="191" s="1"/>
  <c r="U125" i="191"/>
  <c r="W125" i="191" s="1"/>
  <c r="T125" i="191"/>
  <c r="V125" i="191" s="1"/>
  <c r="AD125" i="191"/>
  <c r="AF125" i="191" s="1"/>
  <c r="AB127" i="191"/>
  <c r="Y128" i="191"/>
  <c r="R127" i="191"/>
  <c r="S127" i="191" s="1"/>
  <c r="O128" i="191"/>
  <c r="P128" i="191"/>
  <c r="AA128" i="191"/>
  <c r="Q128" i="191"/>
  <c r="Z128" i="191"/>
  <c r="AC127" i="191"/>
  <c r="AE126" i="191" l="1"/>
  <c r="AG126" i="191" s="1"/>
  <c r="U126" i="191"/>
  <c r="W126" i="191" s="1"/>
  <c r="T126" i="191"/>
  <c r="V126" i="191" s="1"/>
  <c r="AD126" i="191"/>
  <c r="AF126" i="191" s="1"/>
  <c r="AB128" i="191"/>
  <c r="Y129" i="191"/>
  <c r="R128" i="191"/>
  <c r="S128" i="191" s="1"/>
  <c r="O129" i="191"/>
  <c r="P129" i="191"/>
  <c r="Z129" i="191"/>
  <c r="AA129" i="191"/>
  <c r="Q129" i="191"/>
  <c r="AC128" i="191"/>
  <c r="U127" i="191" l="1"/>
  <c r="W127" i="191" s="1"/>
  <c r="T127" i="191"/>
  <c r="V127" i="191" s="1"/>
  <c r="AE127" i="191"/>
  <c r="AG127" i="191" s="1"/>
  <c r="AD127" i="191"/>
  <c r="AF127" i="191" s="1"/>
  <c r="AB129" i="191"/>
  <c r="Y130" i="191"/>
  <c r="R129" i="191"/>
  <c r="S129" i="191" s="1"/>
  <c r="O130" i="191"/>
  <c r="Q130" i="191"/>
  <c r="AA130" i="191"/>
  <c r="P130" i="191"/>
  <c r="Z130" i="191"/>
  <c r="AC129" i="191"/>
  <c r="AE128" i="191" l="1"/>
  <c r="AG128" i="191" s="1"/>
  <c r="U128" i="191"/>
  <c r="W128" i="191" s="1"/>
  <c r="T128" i="191"/>
  <c r="V128" i="191" s="1"/>
  <c r="AD128" i="191"/>
  <c r="AF128" i="191" s="1"/>
  <c r="AB130" i="191"/>
  <c r="Y131" i="191"/>
  <c r="R130" i="191"/>
  <c r="S130" i="191" s="1"/>
  <c r="O131" i="191"/>
  <c r="P131" i="191"/>
  <c r="Z131" i="191"/>
  <c r="Q131" i="191"/>
  <c r="AC130" i="191"/>
  <c r="AA131" i="191"/>
  <c r="U129" i="191" l="1"/>
  <c r="W129" i="191" s="1"/>
  <c r="T129" i="191"/>
  <c r="V129" i="191" s="1"/>
  <c r="AE129" i="191"/>
  <c r="AG129" i="191" s="1"/>
  <c r="AD129" i="191"/>
  <c r="AF129" i="191" s="1"/>
  <c r="AB131" i="191"/>
  <c r="Y132" i="191"/>
  <c r="R131" i="191"/>
  <c r="S131" i="191" s="1"/>
  <c r="O132" i="191"/>
  <c r="Z132" i="191"/>
  <c r="AA132" i="191"/>
  <c r="P132" i="191"/>
  <c r="Q132" i="191"/>
  <c r="AC131" i="191"/>
  <c r="AE130" i="191" l="1"/>
  <c r="AG130" i="191" s="1"/>
  <c r="U130" i="191"/>
  <c r="W130" i="191" s="1"/>
  <c r="T130" i="191"/>
  <c r="V130" i="191" s="1"/>
  <c r="AD130" i="191"/>
  <c r="AF130" i="191" s="1"/>
  <c r="AB132" i="191"/>
  <c r="Y133" i="191"/>
  <c r="R132" i="191"/>
  <c r="S132" i="191" s="1"/>
  <c r="O133" i="191"/>
  <c r="AA133" i="191"/>
  <c r="Q133" i="191"/>
  <c r="Z133" i="191"/>
  <c r="P133" i="191"/>
  <c r="AC132" i="191"/>
  <c r="U131" i="191" l="1"/>
  <c r="W131" i="191" s="1"/>
  <c r="T131" i="191"/>
  <c r="V131" i="191" s="1"/>
  <c r="AE131" i="191"/>
  <c r="AG131" i="191" s="1"/>
  <c r="AD131" i="191"/>
  <c r="AF131" i="191" s="1"/>
  <c r="AB133" i="191"/>
  <c r="Y134" i="191"/>
  <c r="R133" i="191"/>
  <c r="S133" i="191" s="1"/>
  <c r="O134" i="191"/>
  <c r="P134" i="191"/>
  <c r="AA134" i="191"/>
  <c r="Q134" i="191"/>
  <c r="Z134" i="191"/>
  <c r="AC133" i="191"/>
  <c r="U132" i="191" l="1"/>
  <c r="W132" i="191" s="1"/>
  <c r="T132" i="191"/>
  <c r="V132" i="191" s="1"/>
  <c r="AE132" i="191"/>
  <c r="AG132" i="191" s="1"/>
  <c r="AD132" i="191"/>
  <c r="AF132" i="191" s="1"/>
  <c r="AB134" i="191"/>
  <c r="Y135" i="191"/>
  <c r="R134" i="191"/>
  <c r="S134" i="191" s="1"/>
  <c r="O135" i="191"/>
  <c r="Q135" i="191"/>
  <c r="Z135" i="191"/>
  <c r="P135" i="191"/>
  <c r="AA135" i="191"/>
  <c r="AC134" i="191"/>
  <c r="U133" i="191" l="1"/>
  <c r="W133" i="191" s="1"/>
  <c r="T133" i="191"/>
  <c r="V133" i="191" s="1"/>
  <c r="AE133" i="191"/>
  <c r="AG133" i="191" s="1"/>
  <c r="AD133" i="191"/>
  <c r="AF133" i="191" s="1"/>
  <c r="AB135" i="191"/>
  <c r="Y136" i="191"/>
  <c r="R135" i="191"/>
  <c r="S135" i="191" s="1"/>
  <c r="O136" i="191"/>
  <c r="Q136" i="191"/>
  <c r="AA136" i="191"/>
  <c r="Z136" i="191"/>
  <c r="P136" i="191"/>
  <c r="AC135" i="191"/>
  <c r="U134" i="191" l="1"/>
  <c r="W134" i="191" s="1"/>
  <c r="T134" i="191"/>
  <c r="V134" i="191" s="1"/>
  <c r="AE134" i="191"/>
  <c r="AG134" i="191" s="1"/>
  <c r="AD134" i="191"/>
  <c r="AF134" i="191" s="1"/>
  <c r="AB136" i="191"/>
  <c r="Y137" i="191"/>
  <c r="R136" i="191"/>
  <c r="S136" i="191" s="1"/>
  <c r="O137" i="191"/>
  <c r="AA137" i="191"/>
  <c r="P137" i="191"/>
  <c r="Q137" i="191"/>
  <c r="Z137" i="191"/>
  <c r="AC136" i="191"/>
  <c r="AE135" i="191" l="1"/>
  <c r="AG135" i="191" s="1"/>
  <c r="U135" i="191"/>
  <c r="W135" i="191" s="1"/>
  <c r="T135" i="191"/>
  <c r="V135" i="191" s="1"/>
  <c r="AD135" i="191"/>
  <c r="AF135" i="191" s="1"/>
  <c r="AB137" i="191"/>
  <c r="Y138" i="191"/>
  <c r="R137" i="191"/>
  <c r="S137" i="191" s="1"/>
  <c r="O138" i="191"/>
  <c r="Q138" i="191"/>
  <c r="P138" i="191"/>
  <c r="Z138" i="191"/>
  <c r="AA138" i="191"/>
  <c r="AC137" i="191"/>
  <c r="AE136" i="191" l="1"/>
  <c r="AG136" i="191" s="1"/>
  <c r="U136" i="191"/>
  <c r="W136" i="191" s="1"/>
  <c r="T136" i="191"/>
  <c r="V136" i="191" s="1"/>
  <c r="AD136" i="191"/>
  <c r="AF136" i="191" s="1"/>
  <c r="AB138" i="191"/>
  <c r="Y139" i="191"/>
  <c r="R138" i="191"/>
  <c r="S138" i="191" s="1"/>
  <c r="O139" i="191"/>
  <c r="AA139" i="191"/>
  <c r="P139" i="191"/>
  <c r="Q139" i="191"/>
  <c r="Z139" i="191"/>
  <c r="AC138" i="191"/>
  <c r="AE137" i="191" l="1"/>
  <c r="AG137" i="191" s="1"/>
  <c r="U137" i="191"/>
  <c r="W137" i="191" s="1"/>
  <c r="T137" i="191"/>
  <c r="V137" i="191" s="1"/>
  <c r="AD137" i="191"/>
  <c r="AF137" i="191" s="1"/>
  <c r="AB139" i="191"/>
  <c r="Y140" i="191"/>
  <c r="R139" i="191"/>
  <c r="S139" i="191" s="1"/>
  <c r="O140" i="191"/>
  <c r="Z140" i="191"/>
  <c r="Q140" i="191"/>
  <c r="P140" i="191"/>
  <c r="AA140" i="191"/>
  <c r="AC139" i="191"/>
  <c r="U138" i="191" l="1"/>
  <c r="W138" i="191" s="1"/>
  <c r="T138" i="191"/>
  <c r="V138" i="191" s="1"/>
  <c r="AE138" i="191"/>
  <c r="AG138" i="191" s="1"/>
  <c r="AD138" i="191"/>
  <c r="AF138" i="191" s="1"/>
  <c r="AB140" i="191"/>
  <c r="Y141" i="191"/>
  <c r="R140" i="191"/>
  <c r="S140" i="191" s="1"/>
  <c r="O141" i="191"/>
  <c r="Q141" i="191"/>
  <c r="P141" i="191"/>
  <c r="Z141" i="191"/>
  <c r="AA141" i="191"/>
  <c r="AC140" i="191"/>
  <c r="U139" i="191" l="1"/>
  <c r="W139" i="191" s="1"/>
  <c r="T139" i="191"/>
  <c r="V139" i="191" s="1"/>
  <c r="AE139" i="191"/>
  <c r="AG139" i="191" s="1"/>
  <c r="AD139" i="191"/>
  <c r="AF139" i="191" s="1"/>
  <c r="AB141" i="191"/>
  <c r="Y142" i="191"/>
  <c r="R141" i="191"/>
  <c r="S141" i="191" s="1"/>
  <c r="O142" i="191"/>
  <c r="P142" i="191"/>
  <c r="Q142" i="191"/>
  <c r="Z142" i="191"/>
  <c r="AA142" i="191"/>
  <c r="AC141" i="191"/>
  <c r="AE140" i="191" l="1"/>
  <c r="AG140" i="191" s="1"/>
  <c r="U140" i="191"/>
  <c r="W140" i="191" s="1"/>
  <c r="T140" i="191"/>
  <c r="V140" i="191" s="1"/>
  <c r="AD140" i="191"/>
  <c r="AF140" i="191" s="1"/>
  <c r="AB142" i="191"/>
  <c r="Y143" i="191"/>
  <c r="R142" i="191"/>
  <c r="S142" i="191" s="1"/>
  <c r="O143" i="191"/>
  <c r="P143" i="191"/>
  <c r="Q143" i="191"/>
  <c r="Z143" i="191"/>
  <c r="AA143" i="191"/>
  <c r="AC142" i="191"/>
  <c r="AE141" i="191" l="1"/>
  <c r="AG141" i="191" s="1"/>
  <c r="U141" i="191"/>
  <c r="W141" i="191" s="1"/>
  <c r="T141" i="191"/>
  <c r="V141" i="191" s="1"/>
  <c r="AD141" i="191"/>
  <c r="AF141" i="191" s="1"/>
  <c r="AB143" i="191"/>
  <c r="Y144" i="191"/>
  <c r="R143" i="191"/>
  <c r="O144" i="191"/>
  <c r="AA144" i="191"/>
  <c r="Z144" i="191"/>
  <c r="Q144" i="191"/>
  <c r="P144" i="191"/>
  <c r="AC143" i="191"/>
  <c r="S143" i="191"/>
  <c r="AE142" i="191" l="1"/>
  <c r="AG142" i="191" s="1"/>
  <c r="U142" i="191"/>
  <c r="W142" i="191" s="1"/>
  <c r="T142" i="191"/>
  <c r="V142" i="191" s="1"/>
  <c r="AD142" i="191"/>
  <c r="AF142" i="191" s="1"/>
  <c r="AB144" i="191"/>
  <c r="Y145" i="191"/>
  <c r="R144" i="191"/>
  <c r="O145" i="191"/>
  <c r="Z145" i="191"/>
  <c r="Q145" i="191"/>
  <c r="AA145" i="191"/>
  <c r="P145" i="191"/>
  <c r="AC144" i="191"/>
  <c r="S144" i="191"/>
  <c r="AE143" i="191" l="1"/>
  <c r="AG143" i="191" s="1"/>
  <c r="U143" i="191"/>
  <c r="W143" i="191" s="1"/>
  <c r="T143" i="191"/>
  <c r="V143" i="191" s="1"/>
  <c r="AD143" i="191"/>
  <c r="AF143" i="191" s="1"/>
  <c r="AB145" i="191"/>
  <c r="Y146" i="191"/>
  <c r="R145" i="191"/>
  <c r="O146" i="191"/>
  <c r="Z146" i="191"/>
  <c r="AA146" i="191"/>
  <c r="P146" i="191"/>
  <c r="Q146" i="191"/>
  <c r="AC145" i="191"/>
  <c r="S145" i="191"/>
  <c r="AE144" i="191" l="1"/>
  <c r="AG144" i="191" s="1"/>
  <c r="U144" i="191"/>
  <c r="W144" i="191" s="1"/>
  <c r="T144" i="191"/>
  <c r="V144" i="191" s="1"/>
  <c r="AD144" i="191"/>
  <c r="AF144" i="191" s="1"/>
  <c r="AB146" i="191"/>
  <c r="Y147" i="191"/>
  <c r="R146" i="191"/>
  <c r="O147" i="191"/>
  <c r="P147" i="191"/>
  <c r="Q147" i="191"/>
  <c r="AA147" i="191"/>
  <c r="Z147" i="191"/>
  <c r="AC146" i="191"/>
  <c r="S146" i="191"/>
  <c r="AE145" i="191" l="1"/>
  <c r="AG145" i="191" s="1"/>
  <c r="U145" i="191"/>
  <c r="W145" i="191" s="1"/>
  <c r="T145" i="191"/>
  <c r="V145" i="191" s="1"/>
  <c r="AD145" i="191"/>
  <c r="AF145" i="191" s="1"/>
  <c r="AB147" i="191"/>
  <c r="Y148" i="191"/>
  <c r="R147" i="191"/>
  <c r="O148" i="191"/>
  <c r="Q148" i="191"/>
  <c r="Z148" i="191"/>
  <c r="AA148" i="191"/>
  <c r="AC147" i="191"/>
  <c r="P148" i="191"/>
  <c r="S147" i="191"/>
  <c r="AE146" i="191" l="1"/>
  <c r="AG146" i="191" s="1"/>
  <c r="U146" i="191"/>
  <c r="W146" i="191" s="1"/>
  <c r="T146" i="191"/>
  <c r="V146" i="191" s="1"/>
  <c r="AD146" i="191"/>
  <c r="AF146" i="191" s="1"/>
  <c r="AB148" i="191"/>
  <c r="Y149" i="191"/>
  <c r="R148" i="191"/>
  <c r="O149" i="191"/>
  <c r="P149" i="191"/>
  <c r="AA149" i="191"/>
  <c r="Z149" i="191"/>
  <c r="Q149" i="191"/>
  <c r="S148" i="191"/>
  <c r="AC148" i="191"/>
  <c r="AE147" i="191" l="1"/>
  <c r="AG147" i="191" s="1"/>
  <c r="U147" i="191"/>
  <c r="W147" i="191" s="1"/>
  <c r="T147" i="191"/>
  <c r="V147" i="191" s="1"/>
  <c r="AD147" i="191"/>
  <c r="AF147" i="191" s="1"/>
  <c r="AE148" i="191"/>
  <c r="AG148" i="191" s="1"/>
  <c r="AD148" i="191"/>
  <c r="AF148" i="191" s="1"/>
  <c r="AB149" i="191"/>
  <c r="Y150" i="191"/>
  <c r="R149" i="191"/>
  <c r="O150" i="191"/>
  <c r="AA150" i="191"/>
  <c r="S149" i="191"/>
  <c r="P150" i="191"/>
  <c r="Q150" i="191"/>
  <c r="Z150" i="191"/>
  <c r="AC149" i="191"/>
  <c r="U148" i="191" l="1"/>
  <c r="W148" i="191" s="1"/>
  <c r="T148" i="191"/>
  <c r="V148" i="191" s="1"/>
  <c r="AE149" i="191"/>
  <c r="AG149" i="191" s="1"/>
  <c r="AD149" i="191"/>
  <c r="AF149" i="191" s="1"/>
  <c r="AB150" i="191"/>
  <c r="Y151" i="191"/>
  <c r="R150" i="191"/>
  <c r="O151" i="191"/>
  <c r="Z151" i="191"/>
  <c r="AA151" i="191"/>
  <c r="Q151" i="191"/>
  <c r="P151" i="191"/>
  <c r="AC150" i="191"/>
  <c r="S150" i="191"/>
  <c r="U149" i="191" l="1"/>
  <c r="W149" i="191" s="1"/>
  <c r="T149" i="191"/>
  <c r="V149" i="191" s="1"/>
  <c r="AE150" i="191"/>
  <c r="AG150" i="191" s="1"/>
  <c r="AD150" i="191"/>
  <c r="AF150" i="191" s="1"/>
  <c r="AB151" i="191"/>
  <c r="Y152" i="191"/>
  <c r="R151" i="191"/>
  <c r="O152" i="191"/>
  <c r="P152" i="191"/>
  <c r="AA152" i="191"/>
  <c r="Z152" i="191"/>
  <c r="Q152" i="191"/>
  <c r="AC151" i="191"/>
  <c r="S151" i="191"/>
  <c r="U150" i="191" l="1"/>
  <c r="W150" i="191" s="1"/>
  <c r="T150" i="191"/>
  <c r="V150" i="191" s="1"/>
  <c r="AE151" i="191"/>
  <c r="AG151" i="191" s="1"/>
  <c r="AD151" i="191"/>
  <c r="AF151" i="191" s="1"/>
  <c r="AB152" i="191"/>
  <c r="Y153" i="191"/>
  <c r="R152" i="191"/>
  <c r="O153" i="191"/>
  <c r="Z153" i="191"/>
  <c r="AC152" i="191"/>
  <c r="Q153" i="191"/>
  <c r="AA153" i="191"/>
  <c r="P153" i="191"/>
  <c r="S152" i="191"/>
  <c r="U151" i="191" l="1"/>
  <c r="W151" i="191" s="1"/>
  <c r="T151" i="191"/>
  <c r="V151" i="191" s="1"/>
  <c r="AE152" i="191"/>
  <c r="AG152" i="191" s="1"/>
  <c r="AD152" i="191"/>
  <c r="AF152" i="191" s="1"/>
  <c r="AB153" i="191"/>
  <c r="Y154" i="191"/>
  <c r="R153" i="191"/>
  <c r="O154" i="191"/>
  <c r="P154" i="191"/>
  <c r="Z154" i="191"/>
  <c r="AC153" i="191"/>
  <c r="Q154" i="191"/>
  <c r="AA154" i="191"/>
  <c r="S153" i="191"/>
  <c r="U152" i="191" l="1"/>
  <c r="W152" i="191" s="1"/>
  <c r="T152" i="191"/>
  <c r="V152" i="191" s="1"/>
  <c r="AD153" i="191"/>
  <c r="AF153" i="191" s="1"/>
  <c r="AE153" i="191"/>
  <c r="AG153" i="191" s="1"/>
  <c r="AB154" i="191"/>
  <c r="Y155" i="191"/>
  <c r="R154" i="191"/>
  <c r="O155" i="191"/>
  <c r="Z155" i="191"/>
  <c r="AA155" i="191"/>
  <c r="Q155" i="191"/>
  <c r="P155" i="191"/>
  <c r="AC154" i="191"/>
  <c r="S154" i="191"/>
  <c r="U153" i="191" l="1"/>
  <c r="W153" i="191" s="1"/>
  <c r="T153" i="191"/>
  <c r="V153" i="191" s="1"/>
  <c r="AE154" i="191"/>
  <c r="AG154" i="191" s="1"/>
  <c r="AD154" i="191"/>
  <c r="AF154" i="191" s="1"/>
  <c r="AB155" i="191"/>
  <c r="Y156" i="191"/>
  <c r="R155" i="191"/>
  <c r="O156" i="191"/>
  <c r="Z156" i="191"/>
  <c r="AA156" i="191"/>
  <c r="P156" i="191"/>
  <c r="Q156" i="191"/>
  <c r="AC155" i="191"/>
  <c r="S155" i="191"/>
  <c r="U154" i="191" l="1"/>
  <c r="W154" i="191" s="1"/>
  <c r="T154" i="191"/>
  <c r="V154" i="191" s="1"/>
  <c r="AE155" i="191"/>
  <c r="AG155" i="191" s="1"/>
  <c r="AD155" i="191"/>
  <c r="AF155" i="191" s="1"/>
  <c r="AB156" i="191"/>
  <c r="Y157" i="191"/>
  <c r="R156" i="191"/>
  <c r="O157" i="191"/>
  <c r="Z157" i="191"/>
  <c r="AA157" i="191"/>
  <c r="Q157" i="191"/>
  <c r="AC156" i="191"/>
  <c r="P157" i="191"/>
  <c r="S156" i="191"/>
  <c r="U155" i="191" l="1"/>
  <c r="W155" i="191" s="1"/>
  <c r="T155" i="191"/>
  <c r="V155" i="191" s="1"/>
  <c r="AE156" i="191"/>
  <c r="AG156" i="191" s="1"/>
  <c r="AD156" i="191"/>
  <c r="AF156" i="191" s="1"/>
  <c r="AB157" i="191"/>
  <c r="Y158" i="191"/>
  <c r="U156" i="191"/>
  <c r="W156" i="191" s="1"/>
  <c r="T156" i="191"/>
  <c r="V156" i="191" s="1"/>
  <c r="R157" i="191"/>
  <c r="O158" i="191"/>
  <c r="AA158" i="191"/>
  <c r="Q158" i="191"/>
  <c r="Z158" i="191"/>
  <c r="P158" i="191"/>
  <c r="S157" i="191"/>
  <c r="AC157" i="191"/>
  <c r="AE157" i="191" l="1"/>
  <c r="AG157" i="191" s="1"/>
  <c r="AD157" i="191"/>
  <c r="AF157" i="191" s="1"/>
  <c r="AB158" i="191"/>
  <c r="Y159" i="191"/>
  <c r="R158" i="191"/>
  <c r="O159" i="191"/>
  <c r="Z159" i="191"/>
  <c r="AA159" i="191"/>
  <c r="S158" i="191"/>
  <c r="P159" i="191"/>
  <c r="Q159" i="191"/>
  <c r="AC158" i="191"/>
  <c r="U157" i="191" l="1"/>
  <c r="W157" i="191" s="1"/>
  <c r="T157" i="191"/>
  <c r="V157" i="191" s="1"/>
  <c r="AE158" i="191"/>
  <c r="AG158" i="191" s="1"/>
  <c r="AD158" i="191"/>
  <c r="AF158" i="191" s="1"/>
  <c r="AB159" i="191"/>
  <c r="Y160" i="191"/>
  <c r="R159" i="191"/>
  <c r="O160" i="191"/>
  <c r="AA160" i="191"/>
  <c r="P160" i="191"/>
  <c r="Q160" i="191"/>
  <c r="Z160" i="191"/>
  <c r="S159" i="191"/>
  <c r="AC159" i="191"/>
  <c r="U158" i="191" l="1"/>
  <c r="W158" i="191" s="1"/>
  <c r="T158" i="191"/>
  <c r="V158" i="191" s="1"/>
  <c r="AE159" i="191"/>
  <c r="AG159" i="191" s="1"/>
  <c r="AD159" i="191"/>
  <c r="AF159" i="191" s="1"/>
  <c r="AB160" i="191"/>
  <c r="Y161" i="191"/>
  <c r="R160" i="191"/>
  <c r="O161" i="191"/>
  <c r="P161" i="191"/>
  <c r="Z161" i="191"/>
  <c r="AC160" i="191"/>
  <c r="Q161" i="191"/>
  <c r="AA161" i="191"/>
  <c r="S160" i="191"/>
  <c r="U159" i="191" l="1"/>
  <c r="W159" i="191" s="1"/>
  <c r="T159" i="191"/>
  <c r="V159" i="191" s="1"/>
  <c r="AE160" i="191"/>
  <c r="AG160" i="191" s="1"/>
  <c r="AD160" i="191"/>
  <c r="AF160" i="191" s="1"/>
  <c r="AB161" i="191"/>
  <c r="Y162" i="191"/>
  <c r="R161" i="191"/>
  <c r="O162" i="191"/>
  <c r="Z162" i="191"/>
  <c r="Q162" i="191"/>
  <c r="AA162" i="191"/>
  <c r="P162" i="191"/>
  <c r="AC161" i="191"/>
  <c r="S161" i="191"/>
  <c r="U160" i="191" l="1"/>
  <c r="W160" i="191" s="1"/>
  <c r="T160" i="191"/>
  <c r="V160" i="191" s="1"/>
  <c r="AD161" i="191"/>
  <c r="AF161" i="191" s="1"/>
  <c r="AE161" i="191"/>
  <c r="AG161" i="191" s="1"/>
  <c r="AB162" i="191"/>
  <c r="Y163" i="191"/>
  <c r="R162" i="191"/>
  <c r="O163" i="191"/>
  <c r="Z163" i="191"/>
  <c r="P163" i="191"/>
  <c r="AA163" i="191"/>
  <c r="Q163" i="191"/>
  <c r="AC162" i="191"/>
  <c r="S162" i="191"/>
  <c r="U161" i="191" l="1"/>
  <c r="W161" i="191" s="1"/>
  <c r="AE162" i="191"/>
  <c r="AG162" i="191" s="1"/>
  <c r="AD162" i="191"/>
  <c r="AF162" i="191" s="1"/>
  <c r="T161" i="191"/>
  <c r="AB163" i="191"/>
  <c r="Y164" i="191"/>
  <c r="U162" i="191"/>
  <c r="W162" i="191" s="1"/>
  <c r="T162" i="191"/>
  <c r="V162" i="191" s="1"/>
  <c r="R163" i="191"/>
  <c r="O164" i="191"/>
  <c r="P164" i="191"/>
  <c r="Z164" i="191"/>
  <c r="S163" i="191"/>
  <c r="AC163" i="191"/>
  <c r="AA164" i="191"/>
  <c r="Q164" i="191"/>
  <c r="V161" i="191" l="1"/>
  <c r="AE163" i="191"/>
  <c r="AG163" i="191" s="1"/>
  <c r="AD163" i="191"/>
  <c r="AF163" i="191" s="1"/>
  <c r="AB164" i="191"/>
  <c r="Y165" i="191"/>
  <c r="U163" i="191"/>
  <c r="W163" i="191" s="1"/>
  <c r="T163" i="191"/>
  <c r="V163" i="191" s="1"/>
  <c r="R164" i="191"/>
  <c r="O165" i="191"/>
  <c r="Q165" i="191"/>
  <c r="AC164" i="191"/>
  <c r="P165" i="191"/>
  <c r="Z165" i="191"/>
  <c r="AA165" i="191"/>
  <c r="S164" i="191"/>
  <c r="AE164" i="191" l="1"/>
  <c r="AG164" i="191" s="1"/>
  <c r="AD164" i="191"/>
  <c r="AF164" i="191" s="1"/>
  <c r="AB165" i="191"/>
  <c r="Y166" i="191"/>
  <c r="R165" i="191"/>
  <c r="O166" i="191"/>
  <c r="AC165" i="191"/>
  <c r="P166" i="191"/>
  <c r="AA166" i="191"/>
  <c r="Z166" i="191"/>
  <c r="Q166" i="191"/>
  <c r="S165" i="191"/>
  <c r="U164" i="191" l="1"/>
  <c r="W164" i="191" s="1"/>
  <c r="AE165" i="191"/>
  <c r="AG165" i="191" s="1"/>
  <c r="AD165" i="191"/>
  <c r="AF165" i="191" s="1"/>
  <c r="T164" i="191"/>
  <c r="AB166" i="191"/>
  <c r="Y167" i="191"/>
  <c r="U165" i="191"/>
  <c r="W165" i="191" s="1"/>
  <c r="T165" i="191"/>
  <c r="V165" i="191" s="1"/>
  <c r="R166" i="191"/>
  <c r="O167" i="191"/>
  <c r="P167" i="191"/>
  <c r="AA167" i="191"/>
  <c r="Z167" i="191"/>
  <c r="Q167" i="191"/>
  <c r="S166" i="191"/>
  <c r="AC166" i="191"/>
  <c r="V164" i="191" l="1"/>
  <c r="AE166" i="191"/>
  <c r="AG166" i="191" s="1"/>
  <c r="AD166" i="191"/>
  <c r="AF166" i="191" s="1"/>
  <c r="AB167" i="191"/>
  <c r="Y168" i="191"/>
  <c r="U166" i="191"/>
  <c r="W166" i="191" s="1"/>
  <c r="T166" i="191"/>
  <c r="V166" i="191" s="1"/>
  <c r="R167" i="191"/>
  <c r="O168" i="191"/>
  <c r="Z168" i="191"/>
  <c r="AA168" i="191"/>
  <c r="Q168" i="191"/>
  <c r="P168" i="191"/>
  <c r="AC167" i="191"/>
  <c r="S167" i="191"/>
  <c r="AE167" i="191" l="1"/>
  <c r="AG167" i="191" s="1"/>
  <c r="AD167" i="191"/>
  <c r="AF167" i="191" s="1"/>
  <c r="AB168" i="191"/>
  <c r="Y169" i="191"/>
  <c r="R168" i="191"/>
  <c r="O169" i="191"/>
  <c r="AC168" i="191"/>
  <c r="Z169" i="191"/>
  <c r="AA169" i="191"/>
  <c r="Q169" i="191"/>
  <c r="P169" i="191"/>
  <c r="S168" i="191"/>
  <c r="U167" i="191" l="1"/>
  <c r="W167" i="191" s="1"/>
  <c r="AE168" i="191"/>
  <c r="AG168" i="191" s="1"/>
  <c r="AD168" i="191"/>
  <c r="AF168" i="191" s="1"/>
  <c r="T167" i="191"/>
  <c r="AB169" i="191"/>
  <c r="Y170" i="191"/>
  <c r="U168" i="191"/>
  <c r="W168" i="191" s="1"/>
  <c r="T168" i="191"/>
  <c r="V168" i="191" s="1"/>
  <c r="R169" i="191"/>
  <c r="O170" i="191"/>
  <c r="AA170" i="191"/>
  <c r="Q170" i="191"/>
  <c r="S169" i="191"/>
  <c r="Z170" i="191"/>
  <c r="P170" i="191"/>
  <c r="AC169" i="191"/>
  <c r="V167" i="191" l="1"/>
  <c r="AD169" i="191"/>
  <c r="AF169" i="191" s="1"/>
  <c r="AE169" i="191"/>
  <c r="AG169" i="191" s="1"/>
  <c r="AB170" i="191"/>
  <c r="Y171" i="191"/>
  <c r="T169" i="191"/>
  <c r="V169" i="191" s="1"/>
  <c r="U169" i="191"/>
  <c r="W169" i="191" s="1"/>
  <c r="R170" i="191"/>
  <c r="O171" i="191"/>
  <c r="P171" i="191"/>
  <c r="Z171" i="191"/>
  <c r="AA171" i="191"/>
  <c r="Q171" i="191"/>
  <c r="AC170" i="191"/>
  <c r="S170" i="191"/>
  <c r="AE170" i="191" l="1"/>
  <c r="AG170" i="191" s="1"/>
  <c r="AD170" i="191"/>
  <c r="AF170" i="191" s="1"/>
  <c r="AB171" i="191"/>
  <c r="Y172" i="191"/>
  <c r="R171" i="191"/>
  <c r="O172" i="191"/>
  <c r="AA172" i="191"/>
  <c r="P172" i="191"/>
  <c r="Z172" i="191"/>
  <c r="Q172" i="191"/>
  <c r="AC171" i="191"/>
  <c r="S171" i="191"/>
  <c r="U170" i="191" l="1"/>
  <c r="W170" i="191" s="1"/>
  <c r="AE171" i="191"/>
  <c r="AG171" i="191" s="1"/>
  <c r="AD171" i="191"/>
  <c r="AF171" i="191" s="1"/>
  <c r="AB172" i="191"/>
  <c r="T170" i="191"/>
  <c r="Y173" i="191"/>
  <c r="U171" i="191"/>
  <c r="W171" i="191" s="1"/>
  <c r="T171" i="191"/>
  <c r="V171" i="191" s="1"/>
  <c r="R172" i="191"/>
  <c r="O173" i="191"/>
  <c r="Q173" i="191"/>
  <c r="S172" i="191"/>
  <c r="Z173" i="191"/>
  <c r="AA173" i="191"/>
  <c r="P173" i="191"/>
  <c r="AC172" i="191"/>
  <c r="V170" i="191" l="1"/>
  <c r="AE172" i="191"/>
  <c r="AG172" i="191" s="1"/>
  <c r="AD172" i="191"/>
  <c r="AF172" i="191" s="1"/>
  <c r="AB173" i="191"/>
  <c r="Y174" i="191"/>
  <c r="U172" i="191"/>
  <c r="W172" i="191" s="1"/>
  <c r="T172" i="191"/>
  <c r="V172" i="191" s="1"/>
  <c r="R173" i="191"/>
  <c r="O174" i="191"/>
  <c r="Q174" i="191"/>
  <c r="AA174" i="191"/>
  <c r="Z174" i="191"/>
  <c r="AC173" i="191"/>
  <c r="P174" i="191"/>
  <c r="S173" i="191"/>
  <c r="AE173" i="191" l="1"/>
  <c r="AG173" i="191" s="1"/>
  <c r="AD173" i="191"/>
  <c r="AF173" i="191" s="1"/>
  <c r="AB174" i="191"/>
  <c r="Y175" i="191"/>
  <c r="R174" i="191"/>
  <c r="O175" i="191"/>
  <c r="Z175" i="191"/>
  <c r="AC174" i="191"/>
  <c r="AA175" i="191"/>
  <c r="P175" i="191"/>
  <c r="Q175" i="191"/>
  <c r="S174" i="191"/>
  <c r="U173" i="191" l="1"/>
  <c r="W173" i="191" s="1"/>
  <c r="AE174" i="191"/>
  <c r="AG174" i="191" s="1"/>
  <c r="AD174" i="191"/>
  <c r="AF174" i="191" s="1"/>
  <c r="AB175" i="191"/>
  <c r="T173" i="191"/>
  <c r="Y176" i="191"/>
  <c r="U174" i="191"/>
  <c r="W174" i="191" s="1"/>
  <c r="T174" i="191"/>
  <c r="V174" i="191" s="1"/>
  <c r="R175" i="191"/>
  <c r="O176" i="191"/>
  <c r="Z176" i="191"/>
  <c r="P176" i="191"/>
  <c r="Q176" i="191"/>
  <c r="AA176" i="191"/>
  <c r="S175" i="191"/>
  <c r="AC175" i="191"/>
  <c r="V173" i="191" l="1"/>
  <c r="AB176" i="191"/>
  <c r="Y177" i="191"/>
  <c r="U175" i="191"/>
  <c r="W175" i="191" s="1"/>
  <c r="T175" i="191"/>
  <c r="V175" i="191" s="1"/>
  <c r="R176" i="191"/>
  <c r="O177" i="191"/>
  <c r="AA177" i="191"/>
  <c r="Q177" i="191"/>
  <c r="AC176" i="191"/>
  <c r="P177" i="191"/>
  <c r="Z177" i="191"/>
  <c r="S176" i="191"/>
  <c r="AE175" i="191" l="1"/>
  <c r="AG175" i="191" s="1"/>
  <c r="AD175" i="191"/>
  <c r="AF175" i="191" s="1"/>
  <c r="AB177" i="191"/>
  <c r="Y178" i="191"/>
  <c r="U176" i="191"/>
  <c r="W176" i="191" s="1"/>
  <c r="T176" i="191"/>
  <c r="V176" i="191" s="1"/>
  <c r="R177" i="191"/>
  <c r="O178" i="191"/>
  <c r="AA178" i="191"/>
  <c r="P178" i="191"/>
  <c r="Q178" i="191"/>
  <c r="AC177" i="191"/>
  <c r="Z178" i="191"/>
  <c r="S177" i="191"/>
  <c r="AE176" i="191" l="1"/>
  <c r="AG176" i="191" s="1"/>
  <c r="AD176" i="191"/>
  <c r="AF176" i="191" s="1"/>
  <c r="AB178" i="191"/>
  <c r="Y179" i="191"/>
  <c r="R178" i="191"/>
  <c r="O179" i="191"/>
  <c r="Z179" i="191"/>
  <c r="Q179" i="191"/>
  <c r="S178" i="191"/>
  <c r="P179" i="191"/>
  <c r="AA179" i="191"/>
  <c r="AC178" i="191"/>
  <c r="AE177" i="191" l="1"/>
  <c r="AG177" i="191" s="1"/>
  <c r="AD177" i="191"/>
  <c r="AF177" i="191" s="1"/>
  <c r="U177" i="191"/>
  <c r="W177" i="191" s="1"/>
  <c r="T177" i="191"/>
  <c r="AB179" i="191"/>
  <c r="Y180" i="191"/>
  <c r="U178" i="191"/>
  <c r="W178" i="191" s="1"/>
  <c r="T178" i="191"/>
  <c r="V178" i="191" s="1"/>
  <c r="R179" i="191"/>
  <c r="O180" i="191"/>
  <c r="S179" i="191"/>
  <c r="Q180" i="191"/>
  <c r="Z180" i="191"/>
  <c r="AA180" i="191"/>
  <c r="AC179" i="191"/>
  <c r="P180" i="191"/>
  <c r="AE178" i="191" l="1"/>
  <c r="AG178" i="191" s="1"/>
  <c r="AD178" i="191"/>
  <c r="AF178" i="191" s="1"/>
  <c r="V177" i="191"/>
  <c r="AB180" i="191"/>
  <c r="Y181" i="191"/>
  <c r="U179" i="191"/>
  <c r="W179" i="191" s="1"/>
  <c r="T179" i="191"/>
  <c r="V179" i="191" s="1"/>
  <c r="R180" i="191"/>
  <c r="O181" i="191"/>
  <c r="P181" i="191"/>
  <c r="Z181" i="191"/>
  <c r="AC180" i="191"/>
  <c r="Q181" i="191"/>
  <c r="AA181" i="191"/>
  <c r="S180" i="191"/>
  <c r="AE179" i="191" l="1"/>
  <c r="AG179" i="191" s="1"/>
  <c r="AD179" i="191"/>
  <c r="AF179" i="191" s="1"/>
  <c r="AB181" i="191"/>
  <c r="Y182" i="191"/>
  <c r="R181" i="191"/>
  <c r="O182" i="191"/>
  <c r="Q182" i="191"/>
  <c r="AA182" i="191"/>
  <c r="Z182" i="191"/>
  <c r="P182" i="191"/>
  <c r="AC181" i="191"/>
  <c r="S181" i="191"/>
  <c r="AE180" i="191" l="1"/>
  <c r="AG180" i="191" s="1"/>
  <c r="AD180" i="191"/>
  <c r="AF180" i="191" s="1"/>
  <c r="U180" i="191"/>
  <c r="W180" i="191" s="1"/>
  <c r="T180" i="191"/>
  <c r="AB182" i="191"/>
  <c r="Y183" i="191"/>
  <c r="R182" i="191"/>
  <c r="O183" i="191"/>
  <c r="AA183" i="191"/>
  <c r="Z183" i="191"/>
  <c r="Q183" i="191"/>
  <c r="P183" i="191"/>
  <c r="S182" i="191"/>
  <c r="AC182" i="191"/>
  <c r="AE181" i="191" l="1"/>
  <c r="AG181" i="191" s="1"/>
  <c r="U181" i="191"/>
  <c r="W181" i="191" s="1"/>
  <c r="AD181" i="191"/>
  <c r="AF181" i="191" s="1"/>
  <c r="T181" i="191"/>
  <c r="V181" i="191" s="1"/>
  <c r="V180" i="191"/>
  <c r="AB183" i="191"/>
  <c r="Y184" i="191"/>
  <c r="R183" i="191"/>
  <c r="O184" i="191"/>
  <c r="Z184" i="191"/>
  <c r="P184" i="191"/>
  <c r="Q184" i="191"/>
  <c r="AA184" i="191"/>
  <c r="AC183" i="191"/>
  <c r="S183" i="191"/>
  <c r="AE182" i="191" l="1"/>
  <c r="AG182" i="191" s="1"/>
  <c r="U182" i="191"/>
  <c r="W182" i="191" s="1"/>
  <c r="AD182" i="191"/>
  <c r="AF182" i="191" s="1"/>
  <c r="T182" i="191"/>
  <c r="V182" i="191" s="1"/>
  <c r="AB184" i="191"/>
  <c r="Y185" i="191"/>
  <c r="R184" i="191"/>
  <c r="O185" i="191"/>
  <c r="P185" i="191"/>
  <c r="Z185" i="191"/>
  <c r="Q185" i="191"/>
  <c r="AA185" i="191"/>
  <c r="AC184" i="191"/>
  <c r="S184" i="191"/>
  <c r="AE183" i="191" l="1"/>
  <c r="AG183" i="191" s="1"/>
  <c r="AD183" i="191"/>
  <c r="AF183" i="191" s="1"/>
  <c r="U183" i="191"/>
  <c r="W183" i="191" s="1"/>
  <c r="T183" i="191"/>
  <c r="AB185" i="191"/>
  <c r="Y186" i="191"/>
  <c r="R185" i="191"/>
  <c r="O186" i="191"/>
  <c r="AA186" i="191"/>
  <c r="Z186" i="191"/>
  <c r="Q186" i="191"/>
  <c r="P186" i="191"/>
  <c r="AC185" i="191"/>
  <c r="S185" i="191"/>
  <c r="AE184" i="191" l="1"/>
  <c r="AG184" i="191" s="1"/>
  <c r="U184" i="191"/>
  <c r="W184" i="191" s="1"/>
  <c r="AD184" i="191"/>
  <c r="AF184" i="191" s="1"/>
  <c r="T184" i="191"/>
  <c r="V184" i="191" s="1"/>
  <c r="V183" i="191"/>
  <c r="AB186" i="191"/>
  <c r="Y187" i="191"/>
  <c r="T185" i="191"/>
  <c r="V185" i="191" s="1"/>
  <c r="U185" i="191"/>
  <c r="W185" i="191" s="1"/>
  <c r="R186" i="191"/>
  <c r="O187" i="191"/>
  <c r="S186" i="191"/>
  <c r="AA187" i="191"/>
  <c r="Z187" i="191"/>
  <c r="Q187" i="191"/>
  <c r="P187" i="191"/>
  <c r="AC186" i="191"/>
  <c r="AE185" i="191" l="1"/>
  <c r="AG185" i="191" s="1"/>
  <c r="AD185" i="191"/>
  <c r="AF185" i="191" s="1"/>
  <c r="AB187" i="191"/>
  <c r="Y188" i="191"/>
  <c r="R187" i="191"/>
  <c r="O188" i="191"/>
  <c r="Q188" i="191"/>
  <c r="Z188" i="191"/>
  <c r="AA188" i="191"/>
  <c r="P188" i="191"/>
  <c r="AC187" i="191"/>
  <c r="S187" i="191"/>
  <c r="AE186" i="191" l="1"/>
  <c r="AG186" i="191" s="1"/>
  <c r="AD186" i="191"/>
  <c r="AF186" i="191" s="1"/>
  <c r="U186" i="191"/>
  <c r="W186" i="191" s="1"/>
  <c r="T186" i="191"/>
  <c r="AB188" i="191"/>
  <c r="Y189" i="191"/>
  <c r="R188" i="191"/>
  <c r="O189" i="191"/>
  <c r="Q189" i="191"/>
  <c r="P189" i="191"/>
  <c r="AA189" i="191"/>
  <c r="Z189" i="191"/>
  <c r="AC188" i="191"/>
  <c r="S188" i="191"/>
  <c r="AE187" i="191" l="1"/>
  <c r="AG187" i="191" s="1"/>
  <c r="U187" i="191"/>
  <c r="W187" i="191" s="1"/>
  <c r="AD187" i="191"/>
  <c r="AF187" i="191" s="1"/>
  <c r="T187" i="191"/>
  <c r="V187" i="191" s="1"/>
  <c r="V186" i="191"/>
  <c r="AB189" i="191"/>
  <c r="Y190" i="191"/>
  <c r="R189" i="191"/>
  <c r="O190" i="191"/>
  <c r="Q190" i="191"/>
  <c r="AA190" i="191"/>
  <c r="Z190" i="191"/>
  <c r="P190" i="191"/>
  <c r="AC189" i="191"/>
  <c r="S189" i="191"/>
  <c r="U188" i="191" l="1"/>
  <c r="W188" i="191" s="1"/>
  <c r="AE188" i="191"/>
  <c r="AG188" i="191" s="1"/>
  <c r="T188" i="191"/>
  <c r="V188" i="191" s="1"/>
  <c r="AD188" i="191"/>
  <c r="AF188" i="191" s="1"/>
  <c r="AB190" i="191"/>
  <c r="Y191" i="191"/>
  <c r="R190" i="191"/>
  <c r="O191" i="191"/>
  <c r="Q191" i="191"/>
  <c r="P191" i="191"/>
  <c r="Z191" i="191"/>
  <c r="AA191" i="191"/>
  <c r="S190" i="191"/>
  <c r="AC190" i="191"/>
  <c r="U189" i="191" l="1"/>
  <c r="W189" i="191" s="1"/>
  <c r="AE189" i="191"/>
  <c r="AG189" i="191" s="1"/>
  <c r="AD189" i="191"/>
  <c r="AF189" i="191" s="1"/>
  <c r="T189" i="191"/>
  <c r="V189" i="191" s="1"/>
  <c r="AB191" i="191"/>
  <c r="Y192" i="191"/>
  <c r="R191" i="191"/>
  <c r="O192" i="191"/>
  <c r="Z192" i="191"/>
  <c r="Q192" i="191"/>
  <c r="P192" i="191"/>
  <c r="AA192" i="191"/>
  <c r="AC191" i="191"/>
  <c r="S191" i="191"/>
  <c r="AE190" i="191" l="1"/>
  <c r="AG190" i="191" s="1"/>
  <c r="U190" i="191"/>
  <c r="W190" i="191" s="1"/>
  <c r="AD190" i="191"/>
  <c r="AF190" i="191" s="1"/>
  <c r="T190" i="191"/>
  <c r="V190" i="191" s="1"/>
  <c r="AB192" i="191"/>
  <c r="Y193" i="191"/>
  <c r="R192" i="191"/>
  <c r="O193" i="191"/>
  <c r="AA193" i="191"/>
  <c r="Q193" i="191"/>
  <c r="P193" i="191"/>
  <c r="Z193" i="191"/>
  <c r="AC192" i="191"/>
  <c r="S192" i="191"/>
  <c r="AE191" i="191" l="1"/>
  <c r="AG191" i="191" s="1"/>
  <c r="U191" i="191"/>
  <c r="W191" i="191" s="1"/>
  <c r="T191" i="191"/>
  <c r="V191" i="191" s="1"/>
  <c r="AD191" i="191"/>
  <c r="AF191" i="191" s="1"/>
  <c r="AB193" i="191"/>
  <c r="Y194" i="191"/>
  <c r="R193" i="191"/>
  <c r="O194" i="191"/>
  <c r="P194" i="191"/>
  <c r="Z194" i="191"/>
  <c r="Q194" i="191"/>
  <c r="AA194" i="191"/>
  <c r="AC193" i="191"/>
  <c r="W193" i="191" l="1"/>
  <c r="AE192" i="191"/>
  <c r="AG192" i="191" s="1"/>
  <c r="U192" i="191"/>
  <c r="W192" i="191" s="1"/>
  <c r="AD192" i="191"/>
  <c r="AF192" i="191" s="1"/>
  <c r="T192" i="191"/>
  <c r="V192" i="191" s="1"/>
  <c r="AB194" i="191"/>
  <c r="Y195" i="191"/>
  <c r="U193" i="191"/>
  <c r="R194" i="191"/>
  <c r="O195" i="191"/>
  <c r="Q195" i="191"/>
  <c r="Z195" i="191"/>
  <c r="S193" i="191"/>
  <c r="AA195" i="191"/>
  <c r="P195" i="191"/>
  <c r="AC194" i="191"/>
  <c r="W194" i="191" l="1"/>
  <c r="AE193" i="191"/>
  <c r="AG193" i="191" s="1"/>
  <c r="T193" i="191"/>
  <c r="V193" i="191" s="1"/>
  <c r="AD193" i="191"/>
  <c r="AF193" i="191" s="1"/>
  <c r="AB195" i="191"/>
  <c r="Y196" i="191"/>
  <c r="U194" i="191"/>
  <c r="R195" i="191"/>
  <c r="O196" i="191"/>
  <c r="S194" i="191"/>
  <c r="P196" i="191"/>
  <c r="AA196" i="191"/>
  <c r="Z196" i="191"/>
  <c r="Q196" i="191"/>
  <c r="AC195" i="191"/>
  <c r="W195" i="191" l="1"/>
  <c r="AE194" i="191"/>
  <c r="AG194" i="191" s="1"/>
  <c r="AD194" i="191"/>
  <c r="AF194" i="191" s="1"/>
  <c r="T194" i="191"/>
  <c r="V194" i="191" s="1"/>
  <c r="AB196" i="191"/>
  <c r="U195" i="191"/>
  <c r="Y197" i="191"/>
  <c r="R196" i="191"/>
  <c r="O197" i="191"/>
  <c r="P197" i="191"/>
  <c r="AA197" i="191"/>
  <c r="Q197" i="191"/>
  <c r="Z197" i="191"/>
  <c r="S195" i="191"/>
  <c r="AC196" i="191"/>
  <c r="W196" i="191" l="1"/>
  <c r="AE195" i="191"/>
  <c r="AG195" i="191" s="1"/>
  <c r="AD195" i="191"/>
  <c r="AF195" i="191" s="1"/>
  <c r="T195" i="191"/>
  <c r="V195" i="191" s="1"/>
  <c r="AB197" i="191"/>
  <c r="Y198" i="191"/>
  <c r="U196" i="191"/>
  <c r="R197" i="191"/>
  <c r="O198" i="191"/>
  <c r="AA198" i="191"/>
  <c r="P198" i="191"/>
  <c r="S196" i="191"/>
  <c r="Q198" i="191"/>
  <c r="Z198" i="191"/>
  <c r="AG197" i="191" l="1"/>
  <c r="W197" i="191"/>
  <c r="AE196" i="191"/>
  <c r="AG196" i="191" s="1"/>
  <c r="AD196" i="191"/>
  <c r="AF196" i="191" s="1"/>
  <c r="T196" i="191"/>
  <c r="V196" i="191" s="1"/>
  <c r="AE197" i="191"/>
  <c r="AB198" i="191"/>
  <c r="Y199" i="191"/>
  <c r="U197" i="191"/>
  <c r="R198" i="191"/>
  <c r="O199" i="191"/>
  <c r="Z199" i="191"/>
  <c r="P199" i="191"/>
  <c r="AA199" i="191"/>
  <c r="Q199" i="191"/>
  <c r="S197" i="191"/>
  <c r="AC197" i="191"/>
  <c r="W198" i="191" l="1"/>
  <c r="AG198" i="191"/>
  <c r="AD197" i="191"/>
  <c r="AF197" i="191" s="1"/>
  <c r="T197" i="191"/>
  <c r="V197" i="191" s="1"/>
  <c r="AE198" i="191"/>
  <c r="AB199" i="191"/>
  <c r="U198" i="191"/>
  <c r="Y200" i="191"/>
  <c r="R199" i="191"/>
  <c r="O200" i="191"/>
  <c r="AA200" i="191"/>
  <c r="Q200" i="191"/>
  <c r="S198" i="191"/>
  <c r="P200" i="191"/>
  <c r="AC198" i="191"/>
  <c r="Z200" i="191"/>
  <c r="AG199" i="191" l="1"/>
  <c r="W199" i="191"/>
  <c r="AD198" i="191"/>
  <c r="AF198" i="191" s="1"/>
  <c r="AE199" i="191"/>
  <c r="T198" i="191"/>
  <c r="V198" i="191" s="1"/>
  <c r="AB200" i="191"/>
  <c r="Y201" i="191"/>
  <c r="U199" i="191"/>
  <c r="R200" i="191"/>
  <c r="O201" i="191"/>
  <c r="Q201" i="191"/>
  <c r="AC199" i="191"/>
  <c r="AA201" i="191"/>
  <c r="Z201" i="191"/>
  <c r="P201" i="191"/>
  <c r="S199" i="191"/>
  <c r="AG200" i="191" l="1"/>
  <c r="W200" i="191"/>
  <c r="AD199" i="191"/>
  <c r="AF199" i="191" s="1"/>
  <c r="T199" i="191"/>
  <c r="V199" i="191" s="1"/>
  <c r="AE200" i="191"/>
  <c r="AB201" i="191"/>
  <c r="Y202" i="191"/>
  <c r="U200" i="191"/>
  <c r="R201" i="191"/>
  <c r="O202" i="191"/>
  <c r="Q202" i="191"/>
  <c r="AA202" i="191"/>
  <c r="Z202" i="191"/>
  <c r="S200" i="191"/>
  <c r="AC200" i="191"/>
  <c r="P202" i="191"/>
  <c r="AG201" i="191" l="1"/>
  <c r="W201" i="191"/>
  <c r="AD200" i="191"/>
  <c r="AF200" i="191" s="1"/>
  <c r="T200" i="191"/>
  <c r="V200" i="191" s="1"/>
  <c r="AE201" i="191"/>
  <c r="AB202" i="191"/>
  <c r="U201" i="191"/>
  <c r="Y203" i="191"/>
  <c r="R202" i="191"/>
  <c r="O203" i="191"/>
  <c r="Q203" i="191"/>
  <c r="AC201" i="191"/>
  <c r="Z203" i="191"/>
  <c r="P203" i="191"/>
  <c r="AA203" i="191"/>
  <c r="S201" i="191"/>
  <c r="W202" i="191" l="1"/>
  <c r="AG202" i="191"/>
  <c r="AD201" i="191"/>
  <c r="AF201" i="191" s="1"/>
  <c r="AE202" i="191"/>
  <c r="AB203" i="191"/>
  <c r="T201" i="191"/>
  <c r="V201" i="191" s="1"/>
  <c r="Y204" i="191"/>
  <c r="U202" i="191"/>
  <c r="R203" i="191"/>
  <c r="O204" i="191"/>
  <c r="Z204" i="191"/>
  <c r="P204" i="191"/>
  <c r="Q204" i="191"/>
  <c r="AA204" i="191"/>
  <c r="AC202" i="191"/>
  <c r="S202" i="191"/>
  <c r="AG203" i="191" l="1"/>
  <c r="W203" i="191"/>
  <c r="T202" i="191"/>
  <c r="V202" i="191" s="1"/>
  <c r="AD202" i="191"/>
  <c r="AF202" i="191" s="1"/>
  <c r="AE203" i="191"/>
  <c r="AB204" i="191"/>
  <c r="Y205" i="191"/>
  <c r="U203" i="191"/>
  <c r="R204" i="191"/>
  <c r="O205" i="191"/>
  <c r="Z205" i="191"/>
  <c r="AC203" i="191"/>
  <c r="AA205" i="191"/>
  <c r="S203" i="191"/>
  <c r="P205" i="191"/>
  <c r="Q205" i="191"/>
  <c r="AG204" i="191" l="1"/>
  <c r="W204" i="191"/>
  <c r="AD203" i="191"/>
  <c r="AF203" i="191" s="1"/>
  <c r="T203" i="191"/>
  <c r="V203" i="191" s="1"/>
  <c r="AE204" i="191"/>
  <c r="AB205" i="191"/>
  <c r="U204" i="191"/>
  <c r="Y206" i="191"/>
  <c r="R205" i="191"/>
  <c r="O206" i="191"/>
  <c r="AA206" i="191"/>
  <c r="AC204" i="191"/>
  <c r="Z206" i="191"/>
  <c r="Q206" i="191"/>
  <c r="P206" i="191"/>
  <c r="S204" i="191"/>
  <c r="AG205" i="191" l="1"/>
  <c r="W205" i="191"/>
  <c r="AD204" i="191"/>
  <c r="AF204" i="191" s="1"/>
  <c r="AE205" i="191"/>
  <c r="T204" i="191"/>
  <c r="V204" i="191" s="1"/>
  <c r="AB206" i="191"/>
  <c r="Y207" i="191"/>
  <c r="U205" i="191"/>
  <c r="R206" i="191"/>
  <c r="O207" i="191"/>
  <c r="Q207" i="191"/>
  <c r="P207" i="191"/>
  <c r="AC205" i="191"/>
  <c r="S205" i="191"/>
  <c r="Z207" i="191"/>
  <c r="AA207" i="191"/>
  <c r="W206" i="191" l="1"/>
  <c r="AG206" i="191"/>
  <c r="T205" i="191"/>
  <c r="V205" i="191" s="1"/>
  <c r="AD205" i="191"/>
  <c r="AF205" i="191" s="1"/>
  <c r="AE206" i="191"/>
  <c r="AB207" i="191"/>
  <c r="Y208" i="191"/>
  <c r="U206" i="191"/>
  <c r="R207" i="191"/>
  <c r="O208" i="191"/>
  <c r="S206" i="191"/>
  <c r="AC206" i="191"/>
  <c r="AA208" i="191"/>
  <c r="Z208" i="191"/>
  <c r="Q208" i="191"/>
  <c r="P208" i="191"/>
  <c r="AG207" i="191" l="1"/>
  <c r="W207" i="191"/>
  <c r="AD206" i="191"/>
  <c r="AF206" i="191" s="1"/>
  <c r="T206" i="191"/>
  <c r="V206" i="191" s="1"/>
  <c r="AE207" i="191"/>
  <c r="AB208" i="191"/>
  <c r="U207" i="191"/>
  <c r="Y209" i="191"/>
  <c r="R208" i="191"/>
  <c r="O209" i="191"/>
  <c r="AC207" i="191"/>
  <c r="P209" i="191"/>
  <c r="Z209" i="191"/>
  <c r="Q209" i="191"/>
  <c r="S207" i="191"/>
  <c r="AA209" i="191"/>
  <c r="W208" i="191" l="1"/>
  <c r="AG208" i="191"/>
  <c r="AD207" i="191"/>
  <c r="AF207" i="191" s="1"/>
  <c r="AE208" i="191"/>
  <c r="T207" i="191"/>
  <c r="V207" i="191" s="1"/>
  <c r="AB209" i="191"/>
  <c r="Y210" i="191"/>
  <c r="U208" i="191"/>
  <c r="R209" i="191"/>
  <c r="O210" i="191"/>
  <c r="S208" i="191"/>
  <c r="AC208" i="191"/>
  <c r="Z210" i="191"/>
  <c r="Q210" i="191"/>
  <c r="AA210" i="191"/>
  <c r="P210" i="191"/>
  <c r="AG209" i="191" l="1"/>
  <c r="W209" i="191"/>
  <c r="T208" i="191"/>
  <c r="V208" i="191" s="1"/>
  <c r="AD208" i="191"/>
  <c r="AF208" i="191" s="1"/>
  <c r="AE209" i="191"/>
  <c r="AB210" i="191"/>
  <c r="Y211" i="191"/>
  <c r="U209" i="191"/>
  <c r="R210" i="191"/>
  <c r="O211" i="191"/>
  <c r="S209" i="191"/>
  <c r="Q211" i="191"/>
  <c r="P211" i="191"/>
  <c r="AA211" i="191"/>
  <c r="AC209" i="191"/>
  <c r="Z211" i="191"/>
  <c r="AG210" i="191" l="1"/>
  <c r="W210" i="191"/>
  <c r="T209" i="191"/>
  <c r="V209" i="191" s="1"/>
  <c r="AD209" i="191"/>
  <c r="AF209" i="191" s="1"/>
  <c r="AE210" i="191"/>
  <c r="AB211" i="191"/>
  <c r="Y212" i="191"/>
  <c r="U210" i="191"/>
  <c r="R211" i="191"/>
  <c r="O212" i="191"/>
  <c r="P212" i="191"/>
  <c r="S210" i="191"/>
  <c r="AA212" i="191"/>
  <c r="Q212" i="191"/>
  <c r="Z212" i="191"/>
  <c r="AC210" i="191"/>
  <c r="AG211" i="191" l="1"/>
  <c r="W211" i="191"/>
  <c r="T210" i="191"/>
  <c r="V210" i="191" s="1"/>
  <c r="AD210" i="191"/>
  <c r="AF210" i="191" s="1"/>
  <c r="AE211" i="191"/>
  <c r="AB212" i="191"/>
  <c r="Y213" i="191"/>
  <c r="U211" i="191"/>
  <c r="R212" i="191"/>
  <c r="O213" i="191"/>
  <c r="AA213" i="191"/>
  <c r="Q213" i="191"/>
  <c r="AC211" i="191"/>
  <c r="S211" i="191"/>
  <c r="Z213" i="191"/>
  <c r="P213" i="191"/>
  <c r="AG212" i="191" l="1"/>
  <c r="W212" i="191"/>
  <c r="AD211" i="191"/>
  <c r="AF211" i="191" s="1"/>
  <c r="AE212" i="191"/>
  <c r="T211" i="191"/>
  <c r="V211" i="191" s="1"/>
  <c r="AB213" i="191"/>
  <c r="Y214" i="191"/>
  <c r="U212" i="191"/>
  <c r="R213" i="191"/>
  <c r="O214" i="191"/>
  <c r="S212" i="191"/>
  <c r="Z214" i="191"/>
  <c r="AC212" i="191"/>
  <c r="AA214" i="191"/>
  <c r="P214" i="191"/>
  <c r="Q214" i="191"/>
  <c r="AG213" i="191" l="1"/>
  <c r="W213" i="191"/>
  <c r="AD212" i="191"/>
  <c r="AF212" i="191" s="1"/>
  <c r="T212" i="191"/>
  <c r="V212" i="191" s="1"/>
  <c r="AE213" i="191"/>
  <c r="AB214" i="191"/>
  <c r="Y215" i="191"/>
  <c r="U213" i="191"/>
  <c r="R214" i="191"/>
  <c r="O215" i="191"/>
  <c r="Q215" i="191"/>
  <c r="Z215" i="191"/>
  <c r="AC213" i="191"/>
  <c r="S213" i="191"/>
  <c r="P215" i="191"/>
  <c r="AA215" i="191"/>
  <c r="AG214" i="191" l="1"/>
  <c r="W214" i="191"/>
  <c r="AD213" i="191"/>
  <c r="AF213" i="191" s="1"/>
  <c r="T213" i="191"/>
  <c r="V213" i="191" s="1"/>
  <c r="AE214" i="191"/>
  <c r="AB215" i="191"/>
  <c r="Y216" i="191"/>
  <c r="U214" i="191"/>
  <c r="R215" i="191"/>
  <c r="O216" i="191"/>
  <c r="Z216" i="191"/>
  <c r="AA216" i="191"/>
  <c r="Q216" i="191"/>
  <c r="S214" i="191"/>
  <c r="P216" i="191"/>
  <c r="AC214" i="191"/>
  <c r="AG215" i="191" l="1"/>
  <c r="W215" i="191"/>
  <c r="AD214" i="191"/>
  <c r="AF214" i="191" s="1"/>
  <c r="AE215" i="191"/>
  <c r="AB216" i="191"/>
  <c r="T214" i="191"/>
  <c r="V214" i="191" s="1"/>
  <c r="Y217" i="191"/>
  <c r="U215" i="191"/>
  <c r="R216" i="191"/>
  <c r="O217" i="191"/>
  <c r="Z217" i="191"/>
  <c r="AC215" i="191"/>
  <c r="Q217" i="191"/>
  <c r="AA217" i="191"/>
  <c r="P217" i="191"/>
  <c r="S215" i="191"/>
  <c r="AG216" i="191" l="1"/>
  <c r="W216" i="191"/>
  <c r="AD215" i="191"/>
  <c r="AF215" i="191" s="1"/>
  <c r="T215" i="191"/>
  <c r="V215" i="191" s="1"/>
  <c r="AE216" i="191"/>
  <c r="AB217" i="191"/>
  <c r="Y218" i="191"/>
  <c r="U216" i="191"/>
  <c r="R217" i="191"/>
  <c r="O218" i="191"/>
  <c r="P218" i="191"/>
  <c r="AA218" i="191"/>
  <c r="Q218" i="191"/>
  <c r="AC216" i="191"/>
  <c r="S216" i="191"/>
  <c r="Z218" i="191"/>
  <c r="AG217" i="191" l="1"/>
  <c r="W217" i="191"/>
  <c r="T216" i="191"/>
  <c r="V216" i="191" s="1"/>
  <c r="AD216" i="191"/>
  <c r="AF216" i="191" s="1"/>
  <c r="AE217" i="191"/>
  <c r="AB218" i="191"/>
  <c r="U217" i="191"/>
  <c r="Y219" i="191"/>
  <c r="R218" i="191"/>
  <c r="O219" i="191"/>
  <c r="Z219" i="191"/>
  <c r="AA219" i="191"/>
  <c r="P219" i="191"/>
  <c r="Q219" i="191"/>
  <c r="AC217" i="191"/>
  <c r="S217" i="191"/>
  <c r="W218" i="191" l="1"/>
  <c r="AG218" i="191"/>
  <c r="AD217" i="191"/>
  <c r="AF217" i="191" s="1"/>
  <c r="AE218" i="191"/>
  <c r="AB219" i="191"/>
  <c r="T217" i="191"/>
  <c r="V217" i="191" s="1"/>
  <c r="U218" i="191"/>
  <c r="R219" i="191"/>
  <c r="AC218" i="191"/>
  <c r="S218" i="191"/>
  <c r="AG219" i="191" l="1"/>
  <c r="W219" i="191"/>
  <c r="AD218" i="191"/>
  <c r="AF218" i="191" s="1"/>
  <c r="T218" i="191"/>
  <c r="V218" i="191" s="1"/>
  <c r="AE219" i="191"/>
  <c r="U219" i="191"/>
  <c r="S219" i="191"/>
  <c r="AC219" i="191"/>
  <c r="AD219" i="191" l="1"/>
  <c r="AF219" i="191" s="1"/>
  <c r="T219" i="191"/>
  <c r="V219" i="191" s="1"/>
  <c r="G22" i="200" l="1"/>
  <c r="G23" i="200"/>
  <c r="G24" i="200"/>
  <c r="G25" i="200"/>
  <c r="G26" i="200"/>
  <c r="I26" i="200"/>
  <c r="H26" i="200"/>
  <c r="I24" i="200"/>
  <c r="H22" i="200"/>
  <c r="H23" i="200"/>
  <c r="H24" i="200"/>
  <c r="I25" i="200"/>
  <c r="I22" i="200"/>
  <c r="I23" i="200"/>
  <c r="H25" i="200"/>
  <c r="I30" i="200" l="1"/>
  <c r="I29" i="200"/>
  <c r="H30" i="200"/>
  <c r="I31" i="200" l="1"/>
  <c r="I32" i="200" s="1"/>
  <c r="F34" i="200" s="1"/>
  <c r="E21" i="200" s="1"/>
  <c r="C21" i="200"/>
  <c r="C24" i="200" l="1"/>
  <c r="C22" i="200"/>
  <c r="C26" i="200"/>
  <c r="C23" i="200"/>
  <c r="C25" i="200"/>
  <c r="D26" i="200"/>
  <c r="E26" i="200"/>
  <c r="D24" i="200"/>
  <c r="E24" i="200"/>
  <c r="D22" i="200"/>
  <c r="E23" i="200"/>
  <c r="D23" i="200"/>
  <c r="E25" i="200"/>
  <c r="D25" i="200"/>
  <c r="E22" i="200"/>
  <c r="E30" i="200" l="1"/>
  <c r="E29" i="200"/>
  <c r="D30" i="200"/>
  <c r="D31" i="200" l="1"/>
  <c r="D32" i="200" s="1"/>
</calcChain>
</file>

<file path=xl/sharedStrings.xml><?xml version="1.0" encoding="utf-8"?>
<sst xmlns="http://schemas.openxmlformats.org/spreadsheetml/2006/main" count="2203" uniqueCount="719">
  <si>
    <t>MeV/u</t>
    <phoneticPr fontId="24"/>
  </si>
  <si>
    <t>dE/dx max</t>
    <phoneticPr fontId="27"/>
  </si>
  <si>
    <t>SRIMfit.xlsm code ver.#</t>
    <phoneticPr fontId="24"/>
  </si>
  <si>
    <t>Update Log</t>
    <phoneticPr fontId="24"/>
  </si>
  <si>
    <t>SRIMfit</t>
    <phoneticPr fontId="24"/>
  </si>
  <si>
    <t>date</t>
    <phoneticPr fontId="24"/>
  </si>
  <si>
    <t>17.04/05</t>
    <phoneticPr fontId="24"/>
  </si>
  <si>
    <t xml:space="preserve"> 3.00</t>
    <phoneticPr fontId="24"/>
  </si>
  <si>
    <t>SRIMfit.xlsm と MySRIMwb.xlsx を分離</t>
    <rPh sb="30" eb="32">
      <t>ブンリ</t>
    </rPh>
    <phoneticPr fontId="24"/>
  </si>
  <si>
    <t>&lt;- MySRIMwb.xlsx ブック中の WorkSheet名を入力</t>
    <rPh sb="20" eb="21">
      <t>チュウ</t>
    </rPh>
    <rPh sb="32" eb="33">
      <t>メイ</t>
    </rPh>
    <rPh sb="34" eb="36">
      <t>ニュウリョク</t>
    </rPh>
    <phoneticPr fontId="24"/>
  </si>
  <si>
    <t>WS.name =</t>
    <phoneticPr fontId="27"/>
  </si>
  <si>
    <t>in unitID</t>
    <phoneticPr fontId="24"/>
  </si>
  <si>
    <t>at E =</t>
    <phoneticPr fontId="24"/>
  </si>
  <si>
    <t>dE/dX unitID</t>
    <phoneticPr fontId="27"/>
  </si>
  <si>
    <t>= 0,1 .. 8</t>
    <phoneticPr fontId="27"/>
  </si>
  <si>
    <t>LETt</t>
    <phoneticPr fontId="24"/>
  </si>
  <si>
    <t>LETe</t>
    <phoneticPr fontId="24"/>
  </si>
  <si>
    <t>LETn</t>
    <phoneticPr fontId="24"/>
  </si>
  <si>
    <t>Min</t>
    <phoneticPr fontId="24"/>
  </si>
  <si>
    <t>Max</t>
    <phoneticPr fontId="24"/>
  </si>
  <si>
    <t>E [MeV/u]</t>
    <phoneticPr fontId="24"/>
  </si>
  <si>
    <t>Table Range</t>
    <phoneticPr fontId="24"/>
  </si>
  <si>
    <t>Rng[μm]</t>
    <phoneticPr fontId="24"/>
  </si>
  <si>
    <t>Long.Strg[μm]</t>
    <phoneticPr fontId="24"/>
  </si>
  <si>
    <t>Late.Strg[μm]</t>
    <phoneticPr fontId="24"/>
  </si>
  <si>
    <t>[MeV/u]</t>
    <phoneticPr fontId="24"/>
  </si>
  <si>
    <t>E</t>
    <phoneticPr fontId="24"/>
  </si>
  <si>
    <t>dEdX Elec</t>
    <phoneticPr fontId="24"/>
  </si>
  <si>
    <t>dEdX Nucl</t>
    <phoneticPr fontId="24"/>
  </si>
  <si>
    <t>dEdX Tot</t>
    <phoneticPr fontId="24"/>
  </si>
  <si>
    <t>[MeV/(mg/cm2)]</t>
    <phoneticPr fontId="24"/>
  </si>
  <si>
    <t>Range</t>
    <phoneticPr fontId="24"/>
  </si>
  <si>
    <t>Long.Strag</t>
    <phoneticPr fontId="24"/>
  </si>
  <si>
    <t>Late.Strag</t>
    <phoneticPr fontId="24"/>
  </si>
  <si>
    <t>[μm]</t>
    <phoneticPr fontId="24"/>
  </si>
  <si>
    <t>Version Update Log</t>
    <phoneticPr fontId="27"/>
  </si>
  <si>
    <t>追加関数： srMcr*()  のテストシート</t>
    <rPh sb="0" eb="2">
      <t>ツイカ</t>
    </rPh>
    <rPh sb="2" eb="4">
      <t>カンスウ</t>
    </rPh>
    <phoneticPr fontId="24"/>
  </si>
  <si>
    <t>青字</t>
    <rPh sb="0" eb="1">
      <t>アオ</t>
    </rPh>
    <rPh sb="1" eb="2">
      <t>ジ</t>
    </rPh>
    <phoneticPr fontId="24"/>
  </si>
  <si>
    <t>の部分に入力してください。</t>
    <rPh sb="1" eb="3">
      <t>ブブン</t>
    </rPh>
    <rPh sb="4" eb="6">
      <t>ニュウリョク</t>
    </rPh>
    <phoneticPr fontId="24"/>
  </si>
  <si>
    <t>が、マクロ関数の計算結果です。</t>
    <rPh sb="5" eb="7">
      <t>カンスウ</t>
    </rPh>
    <rPh sb="8" eb="10">
      <t>ケイサン</t>
    </rPh>
    <rPh sb="10" eb="12">
      <t>ケッカ</t>
    </rPh>
    <phoneticPr fontId="24"/>
  </si>
  <si>
    <t>notation:   Et = Total Energy[MeV]  Eu = Energy per unit mass [MeV/u]</t>
    <phoneticPr fontId="24"/>
  </si>
  <si>
    <t>srRng_eq_Eold()</t>
    <phoneticPr fontId="24"/>
  </si>
  <si>
    <t>Eu10</t>
    <phoneticPr fontId="24"/>
  </si>
  <si>
    <t>Rng1</t>
    <phoneticPr fontId="24"/>
  </si>
  <si>
    <t>(表中の色分類）</t>
    <rPh sb="1" eb="3">
      <t>ヒョウチュウ</t>
    </rPh>
    <rPh sb="4" eb="5">
      <t>イロ</t>
    </rPh>
    <rPh sb="5" eb="7">
      <t>ブンルイ</t>
    </rPh>
    <phoneticPr fontId="24"/>
  </si>
  <si>
    <t>μm</t>
    <phoneticPr fontId="24"/>
  </si>
  <si>
    <t>パラメータ</t>
    <phoneticPr fontId="24"/>
  </si>
  <si>
    <t>WS(1)</t>
    <phoneticPr fontId="24"/>
  </si>
  <si>
    <t>srim40Ar_Si</t>
    <phoneticPr fontId="24"/>
  </si>
  <si>
    <t>-&gt;</t>
    <phoneticPr fontId="24"/>
  </si>
  <si>
    <t>前提条件</t>
    <rPh sb="0" eb="2">
      <t>ゼンテイ</t>
    </rPh>
    <rPh sb="2" eb="4">
      <t>ジョウケン</t>
    </rPh>
    <phoneticPr fontId="24"/>
  </si>
  <si>
    <t>求める条件</t>
    <rPh sb="0" eb="1">
      <t>モト</t>
    </rPh>
    <rPh sb="3" eb="5">
      <t>ジョウケン</t>
    </rPh>
    <phoneticPr fontId="24"/>
  </si>
  <si>
    <t>Eu20</t>
    <phoneticPr fontId="24"/>
  </si>
  <si>
    <t>Rng2 = Rng1</t>
    <phoneticPr fontId="24"/>
  </si>
  <si>
    <t>関数戻り値</t>
    <rPh sb="0" eb="2">
      <t>カンスウ</t>
    </rPh>
    <rPh sb="2" eb="3">
      <t>モド</t>
    </rPh>
    <rPh sb="4" eb="5">
      <t>チ</t>
    </rPh>
    <phoneticPr fontId="24"/>
  </si>
  <si>
    <t>WS(2)</t>
    <phoneticPr fontId="24"/>
  </si>
  <si>
    <t>&lt;-</t>
    <phoneticPr fontId="24"/>
  </si>
  <si>
    <t>検算確認</t>
    <rPh sb="0" eb="2">
      <t>ケンザン</t>
    </rPh>
    <rPh sb="2" eb="4">
      <t>カクニン</t>
    </rPh>
    <phoneticPr fontId="24"/>
  </si>
  <si>
    <t>=srRng_eq_Eold()</t>
    <phoneticPr fontId="24"/>
  </si>
  <si>
    <t>srE2Rng()で検算-&gt;</t>
    <rPh sb="10" eb="12">
      <t>ケンザン</t>
    </rPh>
    <phoneticPr fontId="24"/>
  </si>
  <si>
    <t>srEnew_eq_Th()</t>
    <phoneticPr fontId="24"/>
  </si>
  <si>
    <t xml:space="preserve">⊿Eが同じになる </t>
    <phoneticPr fontId="24"/>
  </si>
  <si>
    <t>Target(2) の厚さ[μm] を返します。</t>
    <phoneticPr fontId="24"/>
  </si>
  <si>
    <t>Th1</t>
    <phoneticPr fontId="24"/>
  </si>
  <si>
    <t>Eu11</t>
    <phoneticPr fontId="24"/>
  </si>
  <si>
    <t>Et11</t>
    <phoneticPr fontId="24"/>
  </si>
  <si>
    <t>dEu1</t>
    <phoneticPr fontId="24"/>
  </si>
  <si>
    <t>dEt1</t>
    <phoneticPr fontId="24"/>
  </si>
  <si>
    <t>MeV</t>
    <phoneticPr fontId="24"/>
  </si>
  <si>
    <t>Eu20= Eu10</t>
    <phoneticPr fontId="24"/>
  </si>
  <si>
    <t>Th2</t>
    <phoneticPr fontId="24"/>
  </si>
  <si>
    <t>Eu21= Eu11</t>
    <phoneticPr fontId="24"/>
  </si>
  <si>
    <t>Et21</t>
    <phoneticPr fontId="24"/>
  </si>
  <si>
    <t>dEu2=dEu1</t>
    <phoneticPr fontId="24"/>
  </si>
  <si>
    <t>dEt2</t>
    <phoneticPr fontId="24"/>
  </si>
  <si>
    <t>=srEnew_eq_Th()</t>
    <phoneticPr fontId="24"/>
  </si>
  <si>
    <t>=srEnew()で検算</t>
    <rPh sb="10" eb="12">
      <t>ケンザン</t>
    </rPh>
    <phoneticPr fontId="24"/>
  </si>
  <si>
    <t>Eu21</t>
    <phoneticPr fontId="24"/>
  </si>
  <si>
    <t>Et21=Et11</t>
    <phoneticPr fontId="24"/>
  </si>
  <si>
    <t>dEu2</t>
    <phoneticPr fontId="24"/>
  </si>
  <si>
    <t>=srEnewt_eq_Th()</t>
    <phoneticPr fontId="24"/>
  </si>
  <si>
    <t>Th2=Th1</t>
    <phoneticPr fontId="24"/>
  </si>
  <si>
    <t>Eu21=Eu11</t>
    <phoneticPr fontId="24"/>
  </si>
  <si>
    <t>=srEnew_eq_Eold()</t>
    <phoneticPr fontId="24"/>
  </si>
  <si>
    <t>dEu1</t>
    <phoneticPr fontId="24"/>
  </si>
  <si>
    <t>dEt1</t>
    <phoneticPr fontId="24"/>
  </si>
  <si>
    <t>=srEnewt_eq_Eold()</t>
    <phoneticPr fontId="24"/>
  </si>
  <si>
    <t>　srEnew_eq_Th()　と同一関数。</t>
    <rPh sb="17" eb="19">
      <t>ドウイツ</t>
    </rPh>
    <rPh sb="19" eb="21">
      <t>カンスウ</t>
    </rPh>
    <phoneticPr fontId="24"/>
  </si>
  <si>
    <t>=srDEu_eq_Th()</t>
    <phoneticPr fontId="24"/>
  </si>
  <si>
    <t>srDEｔ_eq_Th()</t>
    <phoneticPr fontId="24"/>
  </si>
  <si>
    <t>dEt2=dEt1</t>
    <phoneticPr fontId="24"/>
  </si>
  <si>
    <t>=srDEt_eq_Th()</t>
    <phoneticPr fontId="24"/>
  </si>
  <si>
    <t>R10</t>
    <phoneticPr fontId="24"/>
  </si>
  <si>
    <t>R11</t>
    <phoneticPr fontId="24"/>
  </si>
  <si>
    <t>緑字</t>
    <rPh sb="0" eb="1">
      <t>ミドリ</t>
    </rPh>
    <rPh sb="1" eb="2">
      <t>ジ</t>
    </rPh>
    <phoneticPr fontId="24"/>
  </si>
  <si>
    <t>srim40Ar_Air</t>
    <phoneticPr fontId="24"/>
  </si>
  <si>
    <t>Th1</t>
    <phoneticPr fontId="24"/>
  </si>
  <si>
    <t>Pa1</t>
    <phoneticPr fontId="24"/>
  </si>
  <si>
    <t>degC1</t>
    <phoneticPr fontId="24"/>
  </si>
  <si>
    <t>degC1</t>
    <phoneticPr fontId="24"/>
  </si>
  <si>
    <t>mm</t>
    <phoneticPr fontId="24"/>
  </si>
  <si>
    <t>Pa</t>
    <phoneticPr fontId="24"/>
  </si>
  <si>
    <t>℃</t>
    <phoneticPr fontId="24"/>
  </si>
  <si>
    <t>Pa2</t>
    <phoneticPr fontId="24"/>
  </si>
  <si>
    <t>degC2</t>
    <phoneticPr fontId="24"/>
  </si>
  <si>
    <t>srim132Xe_Air</t>
    <phoneticPr fontId="24"/>
  </si>
  <si>
    <t>=srEnewGas()で検算</t>
    <rPh sb="13" eb="15">
      <t>ケンザン</t>
    </rPh>
    <phoneticPr fontId="24"/>
  </si>
  <si>
    <t>srDEu_eq_Th()</t>
    <phoneticPr fontId="24"/>
  </si>
  <si>
    <t>srE2Rng()</t>
    <phoneticPr fontId="24"/>
  </si>
  <si>
    <t>srE2StLng()</t>
    <phoneticPr fontId="24"/>
  </si>
  <si>
    <t>srE2StLtr()</t>
    <phoneticPr fontId="24"/>
  </si>
  <si>
    <t>srE2LETe()</t>
    <phoneticPr fontId="24"/>
  </si>
  <si>
    <t>srE2LETn()</t>
    <phoneticPr fontId="24"/>
  </si>
  <si>
    <t>srE2LETt()</t>
    <phoneticPr fontId="24"/>
  </si>
  <si>
    <t>IxE</t>
    <phoneticPr fontId="24"/>
  </si>
  <si>
    <t>srIxEmin/max()</t>
    <phoneticPr fontId="24"/>
  </si>
  <si>
    <t>srMin/MaxE()</t>
    <phoneticPr fontId="24"/>
  </si>
  <si>
    <t>srMin/MaxRng()</t>
    <phoneticPr fontId="24"/>
  </si>
  <si>
    <t>srMin/MaxStLng()</t>
    <phoneticPr fontId="24"/>
  </si>
  <si>
    <t>srMin/MaxStLtr()</t>
    <phoneticPr fontId="24"/>
  </si>
  <si>
    <t>srMaxLETt()</t>
    <phoneticPr fontId="24"/>
  </si>
  <si>
    <t>srMaxLETe()</t>
    <phoneticPr fontId="24"/>
  </si>
  <si>
    <t>srMaxLETn()</t>
    <phoneticPr fontId="24"/>
  </si>
  <si>
    <t>srMaxLETt2E()</t>
    <phoneticPr fontId="24"/>
  </si>
  <si>
    <t>srMaxLETe2E()</t>
    <phoneticPr fontId="24"/>
  </si>
  <si>
    <t>srMaxLETn2E()</t>
    <phoneticPr fontId="24"/>
  </si>
  <si>
    <t>srIx2ValAry()</t>
  </si>
  <si>
    <t>Table Start Ix</t>
    <phoneticPr fontId="24"/>
  </si>
  <si>
    <t>Table End Ix</t>
    <phoneticPr fontId="24"/>
  </si>
  <si>
    <t>srE2Ix()</t>
    <phoneticPr fontId="24"/>
  </si>
  <si>
    <t>E - E(ix)</t>
    <phoneticPr fontId="24"/>
  </si>
  <si>
    <t>V(ix) - V(ix-1)</t>
    <phoneticPr fontId="24"/>
  </si>
  <si>
    <t>slp</t>
    <phoneticPr fontId="24"/>
  </si>
  <si>
    <t>val</t>
    <phoneticPr fontId="24"/>
  </si>
  <si>
    <t>srE2*() interpolation check</t>
    <phoneticPr fontId="24"/>
  </si>
  <si>
    <t>slp = (.Cells(i, Clm) - .Cells(i - 1, Clm)) / (.Cells(i, ClmE) - .Cells(i - 1, ClmE))</t>
    <phoneticPr fontId="24"/>
  </si>
  <si>
    <t>Val = .Cells(i, Clm) + slp * (Ei - .Cells(i, ClmE))</t>
    <phoneticPr fontId="24"/>
  </si>
  <si>
    <t>srE2*() interpolation check Graphs</t>
    <phoneticPr fontId="24"/>
  </si>
  <si>
    <t>srRng2E()</t>
    <phoneticPr fontId="24"/>
  </si>
  <si>
    <t>srStLng2E()</t>
    <phoneticPr fontId="24"/>
  </si>
  <si>
    <t>srStLtr2E()</t>
    <phoneticPr fontId="24"/>
  </si>
  <si>
    <t>sr*2E() return value check</t>
    <phoneticPr fontId="24"/>
  </si>
  <si>
    <t>srE2*() return value</t>
    <phoneticPr fontId="24"/>
  </si>
  <si>
    <t>unitID</t>
    <phoneticPr fontId="27"/>
  </si>
  <si>
    <t>g/cm3</t>
  </si>
  <si>
    <t>atoms/cm3</t>
  </si>
  <si>
    <t xml:space="preserve"> == 5 : MeV/(mg/cm2)</t>
    <phoneticPr fontId="27"/>
  </si>
  <si>
    <t>SRIMfit_dbg</t>
    <phoneticPr fontId="24"/>
  </si>
  <si>
    <t>srEnew/Eold() 関数の使い方と検算です。</t>
    <rPh sb="14" eb="16">
      <t>カンスウ</t>
    </rPh>
    <rPh sb="17" eb="18">
      <t>ツカ</t>
    </rPh>
    <rPh sb="19" eb="20">
      <t>カタ</t>
    </rPh>
    <rPh sb="21" eb="23">
      <t>ケンザン</t>
    </rPh>
    <phoneticPr fontId="24"/>
  </si>
  <si>
    <t>WS</t>
    <phoneticPr fontId="24"/>
  </si>
  <si>
    <t>srEnew()</t>
    <phoneticPr fontId="24"/>
  </si>
  <si>
    <t>+</t>
    <phoneticPr fontId="24"/>
  </si>
  <si>
    <t>srE2Rng() =</t>
    <phoneticPr fontId="24"/>
  </si>
  <si>
    <t>srEold()</t>
    <phoneticPr fontId="24"/>
  </si>
  <si>
    <t>&lt;-</t>
    <phoneticPr fontId="24"/>
  </si>
  <si>
    <t xml:space="preserve">Target: Th1 通過《後》の Beamエネルギー </t>
    <rPh sb="12" eb="14">
      <t>ツウカ</t>
    </rPh>
    <rPh sb="15" eb="16">
      <t>ゴ</t>
    </rPh>
    <phoneticPr fontId="24"/>
  </si>
  <si>
    <t xml:space="preserve">Target: Th1 通過《前》の Beamエネルギー </t>
    <rPh sb="12" eb="14">
      <t>ツウカ</t>
    </rPh>
    <rPh sb="15" eb="16">
      <t>マエ</t>
    </rPh>
    <phoneticPr fontId="24"/>
  </si>
  <si>
    <t>=srEnew()</t>
    <phoneticPr fontId="24"/>
  </si>
  <si>
    <t>=srEold()</t>
    <phoneticPr fontId="24"/>
  </si>
  <si>
    <t>srEnewGas()</t>
    <phoneticPr fontId="24"/>
  </si>
  <si>
    <t xml:space="preserve">GasTarget: Th1 通過《後》の Beamエネルギー </t>
    <rPh sb="15" eb="17">
      <t>ツウカ</t>
    </rPh>
    <rPh sb="18" eb="19">
      <t>ゴ</t>
    </rPh>
    <phoneticPr fontId="24"/>
  </si>
  <si>
    <t>IsGas? =</t>
    <phoneticPr fontId="24"/>
  </si>
  <si>
    <t>=srEnewGas()</t>
    <phoneticPr fontId="24"/>
  </si>
  <si>
    <t>=srThkStd()</t>
    <phoneticPr fontId="24"/>
  </si>
  <si>
    <t>μm = mm * 1000  * srThkStd()</t>
    <phoneticPr fontId="24"/>
  </si>
  <si>
    <t>Pa0</t>
    <phoneticPr fontId="24"/>
  </si>
  <si>
    <t>degC0</t>
    <phoneticPr fontId="24"/>
  </si>
  <si>
    <t>srInfoTrgPtbl() =</t>
    <phoneticPr fontId="24"/>
  </si>
  <si>
    <t>= srInfoTrgTtbl()</t>
    <phoneticPr fontId="24"/>
  </si>
  <si>
    <t>GasTaret でないと #NUM! エラーになります</t>
    <phoneticPr fontId="24"/>
  </si>
  <si>
    <t>mg</t>
    <phoneticPr fontId="24"/>
  </si>
  <si>
    <t>srum2mg() =</t>
    <phoneticPr fontId="24"/>
  </si>
  <si>
    <t>srim40Ar_Air</t>
    <phoneticPr fontId="24"/>
  </si>
  <si>
    <t>SRIMの標準大気圧</t>
    <rPh sb="5" eb="7">
      <t>ヒョウジュン</t>
    </rPh>
    <rPh sb="7" eb="9">
      <t>タイキ</t>
    </rPh>
    <rPh sb="9" eb="10">
      <t>アツ</t>
    </rPh>
    <phoneticPr fontId="24"/>
  </si>
  <si>
    <r>
      <t>srum2mg(</t>
    </r>
    <r>
      <rPr>
        <i/>
        <sz val="10"/>
        <color rgb="FFC00000"/>
        <rFont val="ＭＳ Ｐゴシック"/>
        <family val="3"/>
        <charset val="128"/>
        <scheme val="minor"/>
      </rPr>
      <t>mm</t>
    </r>
    <r>
      <rPr>
        <i/>
        <sz val="10"/>
        <color rgb="FF9933FF"/>
        <rFont val="ＭＳ Ｐゴシック"/>
        <family val="3"/>
        <charset val="128"/>
        <scheme val="minor"/>
      </rPr>
      <t>*1000) =</t>
    </r>
    <phoneticPr fontId="24"/>
  </si>
  <si>
    <t>srEoldGas()</t>
    <phoneticPr fontId="24"/>
  </si>
  <si>
    <t xml:space="preserve">GasTarget: Th1 通過《前》の Beamエネルギー </t>
    <rPh sb="15" eb="17">
      <t>ツウカ</t>
    </rPh>
    <rPh sb="18" eb="19">
      <t>マエ</t>
    </rPh>
    <phoneticPr fontId="24"/>
  </si>
  <si>
    <t>実は srEnew( WS, E10, -Th1 )  == srEold( WS, E11, Th1 ) です。</t>
    <rPh sb="0" eb="1">
      <t>ジツ</t>
    </rPh>
    <phoneticPr fontId="24"/>
  </si>
  <si>
    <t>(注意) 引数 Th1 &lt; 0 でも、エラーにしないようにしてあります</t>
    <rPh sb="1" eb="3">
      <t>チュウイ</t>
    </rPh>
    <rPh sb="5" eb="7">
      <t>ヒキスウ</t>
    </rPh>
    <phoneticPr fontId="24"/>
  </si>
  <si>
    <t>Dbg：単位換算関数系</t>
    <rPh sb="4" eb="6">
      <t>タンイ</t>
    </rPh>
    <rPh sb="6" eb="8">
      <t>カンザン</t>
    </rPh>
    <rPh sb="8" eb="10">
      <t>カンスウ</t>
    </rPh>
    <rPh sb="10" eb="11">
      <t>ケイ</t>
    </rPh>
    <phoneticPr fontId="27"/>
  </si>
  <si>
    <t>srLETCnvF()</t>
    <phoneticPr fontId="27"/>
  </si>
  <si>
    <t>=srInfoTrgDens()</t>
    <phoneticPr fontId="24"/>
  </si>
  <si>
    <t>=srInfoTrgDensA()</t>
    <phoneticPr fontId="24"/>
  </si>
  <si>
    <t>Target Density</t>
    <phoneticPr fontId="24"/>
  </si>
  <si>
    <t>ρ</t>
    <phoneticPr fontId="27"/>
  </si>
  <si>
    <t>ρa</t>
    <phoneticPr fontId="27"/>
  </si>
  <si>
    <t>x ρ*1000/10=</t>
    <phoneticPr fontId="24"/>
  </si>
  <si>
    <t>MeV / mm</t>
  </si>
  <si>
    <t>x ρa /1E15=</t>
    <phoneticPr fontId="24"/>
  </si>
  <si>
    <t>eV / cm</t>
    <phoneticPr fontId="24"/>
  </si>
  <si>
    <t>MeV / mm</t>
    <phoneticPr fontId="24"/>
  </si>
  <si>
    <t>eV/</t>
    <phoneticPr fontId="24"/>
  </si>
  <si>
    <t>keV/</t>
    <phoneticPr fontId="24"/>
  </si>
  <si>
    <t>MeV/</t>
    <phoneticPr fontId="24"/>
  </si>
  <si>
    <t>keV/</t>
    <phoneticPr fontId="24"/>
  </si>
  <si>
    <t xml:space="preserve">MeV / </t>
    <phoneticPr fontId="27"/>
  </si>
  <si>
    <t xml:space="preserve">keV / </t>
    <phoneticPr fontId="27"/>
  </si>
  <si>
    <t xml:space="preserve">eV / </t>
    <phoneticPr fontId="27"/>
  </si>
  <si>
    <t xml:space="preserve">L.S.S. </t>
    <phoneticPr fontId="27"/>
  </si>
  <si>
    <t>A</t>
    <phoneticPr fontId="24"/>
  </si>
  <si>
    <t>μm</t>
    <phoneticPr fontId="24"/>
  </si>
  <si>
    <t>mm</t>
    <phoneticPr fontId="24"/>
  </si>
  <si>
    <t xml:space="preserve">  (μg/cm2)</t>
    <phoneticPr fontId="24"/>
  </si>
  <si>
    <t xml:space="preserve"> (mg/cm2)</t>
    <phoneticPr fontId="27"/>
  </si>
  <si>
    <t>(mg/cm2)</t>
    <phoneticPr fontId="27"/>
  </si>
  <si>
    <t>(1E15 atoms/cm2)</t>
    <phoneticPr fontId="27"/>
  </si>
  <si>
    <t>reduced unit</t>
    <phoneticPr fontId="27"/>
  </si>
  <si>
    <t>unitID =</t>
    <phoneticPr fontId="24"/>
  </si>
  <si>
    <t>Cnv.Factor</t>
    <phoneticPr fontId="27"/>
  </si>
  <si>
    <t>dE/dx elec</t>
    <phoneticPr fontId="27"/>
  </si>
  <si>
    <t>dE/dx nucl</t>
    <phoneticPr fontId="27"/>
  </si>
  <si>
    <t xml:space="preserve">dE/dx tot </t>
    <phoneticPr fontId="27"/>
  </si>
  <si>
    <t xml:space="preserve">μm </t>
    <phoneticPr fontId="24"/>
  </si>
  <si>
    <t>Range</t>
    <phoneticPr fontId="27"/>
  </si>
  <si>
    <t>Long.Strg</t>
    <phoneticPr fontId="27"/>
  </si>
  <si>
    <t>LaterStrg</t>
    <phoneticPr fontId="27"/>
  </si>
  <si>
    <t xml:space="preserve">μm </t>
    <phoneticPr fontId="24"/>
  </si>
  <si>
    <t>E1 [MeV/u]</t>
    <phoneticPr fontId="24"/>
  </si>
  <si>
    <t>diff(E1-E0)</t>
    <phoneticPr fontId="24"/>
  </si>
  <si>
    <t>Range</t>
    <phoneticPr fontId="27"/>
  </si>
  <si>
    <t>Long.Strg</t>
    <phoneticPr fontId="27"/>
  </si>
  <si>
    <t>MeV/u</t>
    <phoneticPr fontId="24"/>
  </si>
  <si>
    <t>srLETUNm()</t>
    <phoneticPr fontId="27"/>
  </si>
  <si>
    <t>= srLETCnvF()</t>
    <phoneticPr fontId="24"/>
  </si>
  <si>
    <t>= srE2LETe()</t>
    <phoneticPr fontId="24"/>
  </si>
  <si>
    <t>= srE2LETn()</t>
    <phoneticPr fontId="24"/>
  </si>
  <si>
    <t>= srE2LETt()</t>
    <phoneticPr fontId="24"/>
  </si>
  <si>
    <t>E-&gt;LET</t>
    <phoneticPr fontId="24"/>
  </si>
  <si>
    <t>E-&gt;Rng</t>
    <phoneticPr fontId="24"/>
  </si>
  <si>
    <t>Rng-&gt;E</t>
    <phoneticPr fontId="24"/>
  </si>
  <si>
    <t>= srE2Rng()</t>
    <phoneticPr fontId="24"/>
  </si>
  <si>
    <t>= srE2StLng()</t>
    <phoneticPr fontId="24"/>
  </si>
  <si>
    <t>= srE2StLtr()</t>
    <phoneticPr fontId="24"/>
  </si>
  <si>
    <t>-&gt;</t>
  </si>
  <si>
    <t>-&gt;</t>
    <phoneticPr fontId="27"/>
  </si>
  <si>
    <t>-&gt; E</t>
  </si>
  <si>
    <t>-&gt; E</t>
    <phoneticPr fontId="27"/>
  </si>
  <si>
    <t>= srRng2E()</t>
    <phoneticPr fontId="24"/>
  </si>
  <si>
    <t>= srStLtr2E()</t>
    <phoneticPr fontId="24"/>
  </si>
  <si>
    <t>= srStLng2E()</t>
    <phoneticPr fontId="24"/>
  </si>
  <si>
    <r>
      <rPr>
        <b/>
        <sz val="11"/>
        <color rgb="FF0000FF"/>
        <rFont val="ＭＳ Ｐゴシック"/>
        <family val="3"/>
        <charset val="128"/>
        <scheme val="minor"/>
      </rPr>
      <t>青字</t>
    </r>
    <r>
      <rPr>
        <sz val="11"/>
        <color theme="1"/>
        <rFont val="ＭＳ Ｐゴシック"/>
        <family val="3"/>
        <charset val="128"/>
        <scheme val="minor"/>
      </rPr>
      <t>に入力。</t>
    </r>
    <r>
      <rPr>
        <b/>
        <sz val="11"/>
        <color rgb="FF006600"/>
        <rFont val="ＭＳ Ｐゴシック"/>
        <family val="3"/>
        <charset val="128"/>
        <scheme val="minor"/>
      </rPr>
      <t>緑字</t>
    </r>
    <r>
      <rPr>
        <sz val="11"/>
        <color theme="1"/>
        <rFont val="ＭＳ Ｐゴシック"/>
        <family val="3"/>
        <charset val="128"/>
        <scheme val="minor"/>
      </rPr>
      <t>が関数戻り値。</t>
    </r>
    <r>
      <rPr>
        <b/>
        <sz val="11"/>
        <color rgb="FFC00000"/>
        <rFont val="ＭＳ Ｐゴシック"/>
        <family val="3"/>
        <charset val="128"/>
        <scheme val="minor"/>
      </rPr>
      <t>茶字</t>
    </r>
    <r>
      <rPr>
        <sz val="11"/>
        <color theme="1"/>
        <rFont val="ＭＳ Ｐゴシック"/>
        <family val="3"/>
        <charset val="128"/>
        <scheme val="minor"/>
      </rPr>
      <t>を確認。</t>
    </r>
    <rPh sb="0" eb="1">
      <t>アオ</t>
    </rPh>
    <rPh sb="1" eb="2">
      <t>ジ</t>
    </rPh>
    <rPh sb="3" eb="5">
      <t>ニュウリョク</t>
    </rPh>
    <rPh sb="6" eb="7">
      <t>ミドリ</t>
    </rPh>
    <rPh sb="7" eb="8">
      <t>ジ</t>
    </rPh>
    <rPh sb="9" eb="11">
      <t>カンスウ</t>
    </rPh>
    <rPh sb="11" eb="12">
      <t>モド</t>
    </rPh>
    <rPh sb="13" eb="14">
      <t>チ</t>
    </rPh>
    <rPh sb="15" eb="16">
      <t>チャ</t>
    </rPh>
    <rPh sb="16" eb="17">
      <t>ジ</t>
    </rPh>
    <rPh sb="18" eb="20">
      <t>カクニン</t>
    </rPh>
    <phoneticPr fontId="24"/>
  </si>
  <si>
    <r>
      <t xml:space="preserve">-&gt; mg/cm2 </t>
    </r>
    <r>
      <rPr>
        <i/>
        <sz val="10"/>
        <color rgb="FF9933FF"/>
        <rFont val="ＭＳ Ｐゴシック"/>
        <family val="3"/>
        <charset val="128"/>
        <scheme val="minor"/>
      </rPr>
      <t>= srum2mg(μm)</t>
    </r>
    <phoneticPr fontId="24"/>
  </si>
  <si>
    <r>
      <t xml:space="preserve">-&gt; μm </t>
    </r>
    <r>
      <rPr>
        <i/>
        <sz val="10"/>
        <color rgb="FF9933FF"/>
        <rFont val="ＭＳ Ｐゴシック"/>
        <family val="3"/>
        <charset val="128"/>
        <scheme val="minor"/>
      </rPr>
      <t>= srmg2um(mg)</t>
    </r>
    <phoneticPr fontId="24"/>
  </si>
  <si>
    <t>dE/dX(UID=0) * CnvFactor</t>
    <phoneticPr fontId="24"/>
  </si>
  <si>
    <t>Range</t>
  </si>
  <si>
    <t>Long.Strg</t>
  </si>
  <si>
    <t>LaterStrg</t>
  </si>
  <si>
    <t xml:space="preserve"> x　ρ=</t>
    <phoneticPr fontId="24"/>
  </si>
  <si>
    <t>mg/cm2 = (μm/1000/10) * (ρ*1000)</t>
    <phoneticPr fontId="24"/>
  </si>
  <si>
    <t>E0 =</t>
    <phoneticPr fontId="27"/>
  </si>
  <si>
    <t>sr*_eq_*() 関数のうち</t>
    <rPh sb="11" eb="13">
      <t>カンスウ</t>
    </rPh>
    <phoneticPr fontId="24"/>
  </si>
  <si>
    <t>dEt2</t>
    <phoneticPr fontId="24"/>
  </si>
  <si>
    <t>srEnewt_eq_Eold()</t>
    <phoneticPr fontId="24"/>
  </si>
  <si>
    <t>srEnew_eq_Eold()</t>
    <phoneticPr fontId="24"/>
  </si>
  <si>
    <t>srEnewt_eq_Th()</t>
    <phoneticPr fontId="24"/>
  </si>
  <si>
    <t>E =</t>
    <phoneticPr fontId="24"/>
  </si>
  <si>
    <t>Eu20</t>
    <phoneticPr fontId="24"/>
  </si>
  <si>
    <t>dEu2/dEu1</t>
    <phoneticPr fontId="24"/>
  </si>
  <si>
    <t>srim197Au_Si</t>
    <phoneticPr fontId="24"/>
  </si>
  <si>
    <t>dEt2/dEt1</t>
    <phoneticPr fontId="24"/>
  </si>
  <si>
    <t>=srEnew_eq_ThGas()</t>
    <phoneticPr fontId="24"/>
  </si>
  <si>
    <t>srEnew_eq_ThGas()</t>
    <phoneticPr fontId="24"/>
  </si>
  <si>
    <t>srEnewt_eq_ThGas()</t>
    <phoneticPr fontId="24"/>
  </si>
  <si>
    <t>srEnew_eq_EoldGas()</t>
    <phoneticPr fontId="24"/>
  </si>
  <si>
    <t>WS1</t>
    <phoneticPr fontId="24"/>
  </si>
  <si>
    <t>WS2</t>
    <phoneticPr fontId="24"/>
  </si>
  <si>
    <t>srInfoTrgPtbl()</t>
    <phoneticPr fontId="24"/>
  </si>
  <si>
    <t>srInfoTrgTtbl()</t>
    <phoneticPr fontId="24"/>
  </si>
  <si>
    <t>=srEnewt_eq_ThGas()</t>
    <phoneticPr fontId="24"/>
  </si>
  <si>
    <t>=srEnew_eq_EoldGas()</t>
    <phoneticPr fontId="24"/>
  </si>
  <si>
    <t>srEnewt_eq_EoldGas()</t>
    <phoneticPr fontId="24"/>
  </si>
  <si>
    <t>=srEnewt_eq_EoldGas()</t>
    <phoneticPr fontId="24"/>
  </si>
  <si>
    <t>　srEnew_eq_ThGas()　と同一関数。</t>
    <rPh sb="20" eb="22">
      <t>ドウイツ</t>
    </rPh>
    <rPh sb="22" eb="24">
      <t>カンスウ</t>
    </rPh>
    <phoneticPr fontId="24"/>
  </si>
  <si>
    <t>srDEu_eq_ThGas()</t>
    <phoneticPr fontId="24"/>
  </si>
  <si>
    <t>=srDEu_eq_ThGas()</t>
    <phoneticPr fontId="24"/>
  </si>
  <si>
    <t>srDEｔ_eq_ThGas()</t>
    <phoneticPr fontId="24"/>
  </si>
  <si>
    <t>=srDEt_eq_ThGas()</t>
    <phoneticPr fontId="24"/>
  </si>
  <si>
    <t>Et10 MeV</t>
    <phoneticPr fontId="24"/>
  </si>
  <si>
    <t>Et20 MeV</t>
    <phoneticPr fontId="24"/>
  </si>
  <si>
    <t>の部分に入力</t>
    <rPh sb="1" eb="3">
      <t>ブブン</t>
    </rPh>
    <rPh sb="4" eb="6">
      <t>ニュウリョク</t>
    </rPh>
    <phoneticPr fontId="24"/>
  </si>
  <si>
    <t>が、マクロ関数の戻り値</t>
    <rPh sb="5" eb="7">
      <t>カンスウ</t>
    </rPh>
    <rPh sb="8" eb="9">
      <t>モド</t>
    </rPh>
    <rPh sb="10" eb="11">
      <t>チ</t>
    </rPh>
    <phoneticPr fontId="24"/>
  </si>
  <si>
    <t>sr*_eq_*() 関数の使い方と検算</t>
    <rPh sb="11" eb="13">
      <t>カンスウ</t>
    </rPh>
    <rPh sb="14" eb="15">
      <t>ツカ</t>
    </rPh>
    <rPh sb="16" eb="17">
      <t>カタ</t>
    </rPh>
    <rPh sb="18" eb="20">
      <t>ケンザン</t>
    </rPh>
    <phoneticPr fontId="24"/>
  </si>
  <si>
    <t>ビーム違い、ターゲット材違いでも計算可</t>
    <rPh sb="3" eb="4">
      <t>チガ</t>
    </rPh>
    <rPh sb="11" eb="12">
      <t>ザイ</t>
    </rPh>
    <rPh sb="12" eb="13">
      <t>チガ</t>
    </rPh>
    <rPh sb="16" eb="18">
      <t>ケイサン</t>
    </rPh>
    <rPh sb="18" eb="19">
      <t>カ</t>
    </rPh>
    <phoneticPr fontId="24"/>
  </si>
  <si>
    <t>エラー</t>
    <phoneticPr fontId="24"/>
  </si>
  <si>
    <r>
      <t>緑字、</t>
    </r>
    <r>
      <rPr>
        <b/>
        <sz val="10"/>
        <color rgb="FFC00000"/>
        <rFont val="ＭＳ Ｐゴシック"/>
        <family val="3"/>
        <charset val="128"/>
        <scheme val="minor"/>
      </rPr>
      <t>茶字</t>
    </r>
    <rPh sb="0" eb="1">
      <t>ミドリ</t>
    </rPh>
    <rPh sb="1" eb="2">
      <t>ジ</t>
    </rPh>
    <rPh sb="3" eb="4">
      <t>チャ</t>
    </rPh>
    <rPh sb="4" eb="5">
      <t>ジ</t>
    </rPh>
    <phoneticPr fontId="24"/>
  </si>
  <si>
    <t>の理由表示</t>
    <rPh sb="1" eb="3">
      <t>リユウ</t>
    </rPh>
    <rPh sb="3" eb="5">
      <t>ヒョウジ</t>
    </rPh>
    <phoneticPr fontId="24"/>
  </si>
  <si>
    <t>E&lt;-&gt;Range の加減則で計算できないので</t>
    <rPh sb="11" eb="13">
      <t>カゲン</t>
    </rPh>
    <rPh sb="13" eb="14">
      <t>ソク</t>
    </rPh>
    <rPh sb="15" eb="17">
      <t>ケイサン</t>
    </rPh>
    <phoneticPr fontId="24"/>
  </si>
  <si>
    <t>Table search している関数</t>
    <rPh sb="17" eb="19">
      <t>カンスウ</t>
    </rPh>
    <phoneticPr fontId="24"/>
  </si>
  <si>
    <t>ErrCode</t>
    <phoneticPr fontId="24"/>
  </si>
  <si>
    <t>Bm1がTg1_中での_エネ損失dEt1_が、Bm2がTg2_入射前の_全エネEt20_を超えている</t>
    <rPh sb="8" eb="9">
      <t>チュウ</t>
    </rPh>
    <rPh sb="14" eb="16">
      <t>ソンシツ</t>
    </rPh>
    <rPh sb="31" eb="33">
      <t>ニュウシャ</t>
    </rPh>
    <rPh sb="33" eb="34">
      <t>マエ</t>
    </rPh>
    <rPh sb="36" eb="37">
      <t>ゼン</t>
    </rPh>
    <rPh sb="45" eb="46">
      <t>コ</t>
    </rPh>
    <phoneticPr fontId="24"/>
  </si>
  <si>
    <t>maxLET [MeV/μm]</t>
    <phoneticPr fontId="24"/>
  </si>
  <si>
    <t>Et10 [MeV]</t>
    <phoneticPr fontId="24"/>
  </si>
  <si>
    <t>@ Eu10 [MeV/u]</t>
    <phoneticPr fontId="24"/>
  </si>
  <si>
    <t>R(Eu10)μm</t>
    <phoneticPr fontId="24"/>
  </si>
  <si>
    <t>maxLET</t>
    <phoneticPr fontId="24"/>
  </si>
  <si>
    <t>max dEu1</t>
    <phoneticPr fontId="24"/>
  </si>
  <si>
    <t>Et20</t>
    <phoneticPr fontId="24"/>
  </si>
  <si>
    <r>
      <t>maxLET [MeV/</t>
    </r>
    <r>
      <rPr>
        <sz val="10"/>
        <color rgb="FFFF0000"/>
        <rFont val="ＭＳ Ｐゴシック"/>
        <family val="3"/>
        <charset val="128"/>
        <scheme val="minor"/>
      </rPr>
      <t>mm</t>
    </r>
    <r>
      <rPr>
        <sz val="10"/>
        <color theme="1"/>
        <rFont val="ＭＳ Ｐゴシック"/>
        <family val="3"/>
        <charset val="128"/>
        <scheme val="minor"/>
      </rPr>
      <t>]</t>
    </r>
    <phoneticPr fontId="24"/>
  </si>
  <si>
    <r>
      <t>R(Eu10)</t>
    </r>
    <r>
      <rPr>
        <sz val="10"/>
        <color rgb="FFFF0000"/>
        <rFont val="ＭＳ Ｐゴシック"/>
        <family val="3"/>
        <charset val="128"/>
        <scheme val="minor"/>
      </rPr>
      <t>mm</t>
    </r>
    <phoneticPr fontId="24"/>
  </si>
  <si>
    <t>=maxLET*Th1</t>
    <phoneticPr fontId="24"/>
  </si>
  <si>
    <t>max dEt1</t>
    <phoneticPr fontId="24"/>
  </si>
  <si>
    <t>max dEu2</t>
    <phoneticPr fontId="24"/>
  </si>
  <si>
    <t>max dEt2</t>
    <phoneticPr fontId="24"/>
  </si>
  <si>
    <t>@ Eu20</t>
    <phoneticPr fontId="24"/>
  </si>
  <si>
    <t>R(Eu20)</t>
    <phoneticPr fontId="24"/>
  </si>
  <si>
    <t>@ Eu20</t>
    <phoneticPr fontId="24"/>
  </si>
  <si>
    <t>Kg1=</t>
    <phoneticPr fontId="24"/>
  </si>
  <si>
    <t>Kg2=</t>
    <phoneticPr fontId="24"/>
  </si>
  <si>
    <t>Th1=</t>
    <phoneticPr fontId="24"/>
  </si>
  <si>
    <t>= Th1*Kg1</t>
    <phoneticPr fontId="24"/>
  </si>
  <si>
    <t>= Enew(WS1,Eu10,Th1)</t>
    <phoneticPr fontId="24"/>
  </si>
  <si>
    <t>dEt1=</t>
    <phoneticPr fontId="24"/>
  </si>
  <si>
    <t>= Eu10</t>
    <phoneticPr fontId="24"/>
  </si>
  <si>
    <t>WS2 Table search</t>
    <phoneticPr fontId="24"/>
  </si>
  <si>
    <t>dEuG</t>
    <phoneticPr fontId="24"/>
  </si>
  <si>
    <t>dEtG</t>
    <phoneticPr fontId="24"/>
  </si>
  <si>
    <t>R-Th</t>
    <phoneticPr fontId="24"/>
  </si>
  <si>
    <t>sr_dEintrpl() Interpolation check</t>
    <phoneticPr fontId="24"/>
  </si>
  <si>
    <t>Eu10</t>
    <phoneticPr fontId="24"/>
  </si>
  <si>
    <t>Th1</t>
    <phoneticPr fontId="24"/>
  </si>
  <si>
    <t>ws1 / ws2</t>
    <phoneticPr fontId="24"/>
  </si>
  <si>
    <t xml:space="preserve"> " "</t>
    <phoneticPr fontId="24"/>
  </si>
  <si>
    <t>197Au_si / 40Ar_Si</t>
    <phoneticPr fontId="24"/>
  </si>
  <si>
    <t>Need to check cases</t>
    <phoneticPr fontId="24"/>
  </si>
  <si>
    <t>Bm1 = Bm2 &amp; Tg1 &lt; Tg2</t>
    <phoneticPr fontId="24"/>
  </si>
  <si>
    <t xml:space="preserve">notation:   Et = Total Energy[MeV]  </t>
    <phoneticPr fontId="24"/>
  </si>
  <si>
    <t>Eu = Energy per unit mass [MeV/u]</t>
    <phoneticPr fontId="24"/>
  </si>
  <si>
    <t>計算条件判断</t>
    <rPh sb="0" eb="2">
      <t>ケイサン</t>
    </rPh>
    <rPh sb="2" eb="4">
      <t>ジョウケン</t>
    </rPh>
    <rPh sb="4" eb="6">
      <t>ハンダン</t>
    </rPh>
    <phoneticPr fontId="24"/>
  </si>
  <si>
    <t>をしている箇所</t>
    <rPh sb="5" eb="7">
      <t>カショ</t>
    </rPh>
    <phoneticPr fontId="24"/>
  </si>
  <si>
    <t>Th</t>
    <phoneticPr fontId="24"/>
  </si>
  <si>
    <t>ixEmax</t>
    <phoneticPr fontId="24"/>
  </si>
  <si>
    <t>ixEmin</t>
    <phoneticPr fontId="24"/>
  </si>
  <si>
    <t>stop</t>
    <phoneticPr fontId="24"/>
  </si>
  <si>
    <t>Eu11</t>
    <phoneticPr fontId="24"/>
  </si>
  <si>
    <t>Eu2</t>
    <phoneticPr fontId="24"/>
  </si>
  <si>
    <t>dEu2</t>
    <phoneticPr fontId="24"/>
  </si>
  <si>
    <t>dEt2</t>
    <phoneticPr fontId="24"/>
  </si>
  <si>
    <t>WS1</t>
    <phoneticPr fontId="24"/>
  </si>
  <si>
    <t>WS2</t>
    <phoneticPr fontId="24"/>
  </si>
  <si>
    <t>Eu210</t>
    <phoneticPr fontId="24"/>
  </si>
  <si>
    <t>R(Eu210)</t>
    <phoneticPr fontId="24"/>
  </si>
  <si>
    <t>dEt1</t>
    <phoneticPr fontId="24"/>
  </si>
  <si>
    <t>R(Eu20)</t>
    <phoneticPr fontId="24"/>
  </si>
  <si>
    <t>Eu21</t>
    <phoneticPr fontId="24"/>
  </si>
  <si>
    <t>Eu1</t>
    <phoneticPr fontId="24"/>
  </si>
  <si>
    <t>dEu1</t>
    <phoneticPr fontId="24"/>
  </si>
  <si>
    <t>dEt1</t>
    <phoneticPr fontId="24"/>
  </si>
  <si>
    <t>Eu20_H</t>
    <phoneticPr fontId="24"/>
  </si>
  <si>
    <t>Eu20_L</t>
    <phoneticPr fontId="24"/>
  </si>
  <si>
    <t xml:space="preserve"> srDEu_eq_Eold(H,L)=</t>
    <phoneticPr fontId="24"/>
  </si>
  <si>
    <t xml:space="preserve"> srDEt_eq_Eold(H,L)=</t>
    <phoneticPr fontId="24"/>
  </si>
  <si>
    <t>dEt2=dEt1</t>
    <phoneticPr fontId="24"/>
  </si>
  <si>
    <t>R2E(Th1)MeV/u</t>
    <phoneticPr fontId="24"/>
  </si>
  <si>
    <t xml:space="preserve">maxLET [MeV/μm] @Eu20 </t>
    <phoneticPr fontId="24"/>
  </si>
  <si>
    <t xml:space="preserve">maxLET [MeV/μm] @Eu10 </t>
    <phoneticPr fontId="24"/>
  </si>
  <si>
    <t>just stop</t>
  </si>
  <si>
    <t>just stop</t>
    <phoneticPr fontId="24"/>
  </si>
  <si>
    <t>E2R(Eu10)μm</t>
    <phoneticPr fontId="24"/>
  </si>
  <si>
    <t>40Ar_Si / 84Kr_Si</t>
    <phoneticPr fontId="24"/>
  </si>
  <si>
    <t>40Ar_Au / 84Kr_Si</t>
    <phoneticPr fontId="24"/>
  </si>
  <si>
    <t>srLETe2E(Eh)</t>
    <phoneticPr fontId="24"/>
  </si>
  <si>
    <t>srLETe2E(El)</t>
    <phoneticPr fontId="24"/>
  </si>
  <si>
    <t>srLETn2E(Eh)</t>
    <phoneticPr fontId="24"/>
  </si>
  <si>
    <t>srLETn2E(El)</t>
    <phoneticPr fontId="24"/>
  </si>
  <si>
    <t>srLETt2E(Eh)</t>
    <phoneticPr fontId="24"/>
  </si>
  <si>
    <t>srLETt2E(El)</t>
    <phoneticPr fontId="24"/>
  </si>
  <si>
    <t>[μm]</t>
    <phoneticPr fontId="24"/>
  </si>
  <si>
    <t>[MeV/(mg/cm2)]</t>
    <phoneticPr fontId="24"/>
  </si>
  <si>
    <t>[MeV/u]</t>
    <phoneticPr fontId="24"/>
  </si>
  <si>
    <t>Late.Strag</t>
    <phoneticPr fontId="24"/>
  </si>
  <si>
    <t>Long.Strag</t>
    <phoneticPr fontId="24"/>
  </si>
  <si>
    <t>Range</t>
    <phoneticPr fontId="24"/>
  </si>
  <si>
    <t>dEdX Tot</t>
    <phoneticPr fontId="24"/>
  </si>
  <si>
    <t>dEdX Nucl</t>
    <phoneticPr fontId="24"/>
  </si>
  <si>
    <t>dEdX Elec</t>
    <phoneticPr fontId="24"/>
  </si>
  <si>
    <t>E</t>
    <phoneticPr fontId="24"/>
  </si>
  <si>
    <t>= Table Emax</t>
    <phoneticPr fontId="24"/>
  </si>
  <si>
    <r>
      <t xml:space="preserve">= Table Emin </t>
    </r>
    <r>
      <rPr>
        <b/>
        <sz val="10"/>
        <color theme="1"/>
        <rFont val="ＭＳ Ｐゴシック"/>
        <family val="3"/>
        <charset val="128"/>
        <scheme val="minor"/>
      </rPr>
      <t xml:space="preserve"> (Log-Log プロット) 全体表示用</t>
    </r>
    <rPh sb="29" eb="31">
      <t>ゼンタイ</t>
    </rPh>
    <rPh sb="31" eb="33">
      <t>ヒョウジ</t>
    </rPh>
    <rPh sb="33" eb="34">
      <t>ヨウ</t>
    </rPh>
    <phoneticPr fontId="24"/>
  </si>
  <si>
    <t>= Estep</t>
    <phoneticPr fontId="24"/>
  </si>
  <si>
    <r>
      <t>= Emin [MeV/u]</t>
    </r>
    <r>
      <rPr>
        <b/>
        <sz val="10"/>
        <color theme="1"/>
        <rFont val="ＭＳ Ｐゴシック"/>
        <family val="3"/>
        <charset val="128"/>
        <scheme val="minor"/>
      </rPr>
      <t xml:space="preserve"> (Lin-Lin プロット) 確認用</t>
    </r>
    <rPh sb="30" eb="33">
      <t>カクニンヨウ</t>
    </rPh>
    <phoneticPr fontId="24"/>
  </si>
  <si>
    <t>Ehigh side</t>
    <phoneticPr fontId="27"/>
  </si>
  <si>
    <t>Elow  side</t>
    <phoneticPr fontId="27"/>
  </si>
  <si>
    <t>in unitID</t>
    <phoneticPr fontId="24"/>
  </si>
  <si>
    <t>at E =</t>
    <phoneticPr fontId="24"/>
  </si>
  <si>
    <t>dE/dx max</t>
    <phoneticPr fontId="27"/>
  </si>
  <si>
    <t>LETn</t>
    <phoneticPr fontId="24"/>
  </si>
  <si>
    <t>LETe</t>
    <phoneticPr fontId="24"/>
  </si>
  <si>
    <t>LETt</t>
    <phoneticPr fontId="24"/>
  </si>
  <si>
    <t>= 0,1 .. 8</t>
    <phoneticPr fontId="27"/>
  </si>
  <si>
    <t>dE/dX unitID</t>
    <phoneticPr fontId="27"/>
  </si>
  <si>
    <t>Ttbl=</t>
    <phoneticPr fontId="24"/>
  </si>
  <si>
    <t>Late.Strg[μm]</t>
    <phoneticPr fontId="24"/>
  </si>
  <si>
    <t>Ptbl=</t>
    <phoneticPr fontId="24"/>
  </si>
  <si>
    <t>Long.Strg[μm]</t>
    <phoneticPr fontId="24"/>
  </si>
  <si>
    <t>IsGas ? =</t>
    <phoneticPr fontId="24"/>
  </si>
  <si>
    <t>Rng[μm]</t>
    <phoneticPr fontId="24"/>
  </si>
  <si>
    <t>sum</t>
    <phoneticPr fontId="24"/>
  </si>
  <si>
    <t>E [MeV/u]</t>
    <phoneticPr fontId="24"/>
  </si>
  <si>
    <t>L.S.S. reduced unit</t>
    <phoneticPr fontId="27"/>
  </si>
  <si>
    <t>Max</t>
    <phoneticPr fontId="24"/>
  </si>
  <si>
    <t>Min</t>
    <phoneticPr fontId="24"/>
  </si>
  <si>
    <t>Table Range</t>
    <phoneticPr fontId="24"/>
  </si>
  <si>
    <t>eV / (1E15 atoms/cm2)</t>
    <phoneticPr fontId="27"/>
  </si>
  <si>
    <t>keV / (mg/cm2)</t>
    <phoneticPr fontId="27"/>
  </si>
  <si>
    <t>Bragg.Crct.</t>
    <phoneticPr fontId="24"/>
  </si>
  <si>
    <t>MeV / (mg/cm2)</t>
    <phoneticPr fontId="27"/>
  </si>
  <si>
    <t>keV / (ug/cm2)</t>
    <phoneticPr fontId="27"/>
  </si>
  <si>
    <t>Tgt.Dens</t>
    <phoneticPr fontId="27"/>
  </si>
  <si>
    <t>MeV / mm</t>
    <phoneticPr fontId="27"/>
  </si>
  <si>
    <t>keV / micron</t>
    <phoneticPr fontId="27"/>
  </si>
  <si>
    <t>Target</t>
    <phoneticPr fontId="27"/>
  </si>
  <si>
    <t>eV / Angstrom</t>
    <phoneticPr fontId="27"/>
  </si>
  <si>
    <t>Ion A</t>
    <phoneticPr fontId="27"/>
  </si>
  <si>
    <t>Cnv. Factor</t>
    <phoneticPr fontId="27"/>
  </si>
  <si>
    <t>[%]</t>
    <phoneticPr fontId="27"/>
  </si>
  <si>
    <t>Numb</t>
  </si>
  <si>
    <t>Name</t>
  </si>
  <si>
    <t>Ion Z</t>
    <phoneticPr fontId="27"/>
  </si>
  <si>
    <t>Multiply Stopping by ; for Stopping Units</t>
    <phoneticPr fontId="27"/>
  </si>
  <si>
    <t>Mass</t>
  </si>
  <si>
    <t>Atomic</t>
  </si>
  <si>
    <t>Atom</t>
  </si>
  <si>
    <t>SRIM ver</t>
    <phoneticPr fontId="27"/>
  </si>
  <si>
    <t>== Target  Composition ==</t>
  </si>
  <si>
    <t>Gas?</t>
    <phoneticPr fontId="24"/>
  </si>
  <si>
    <t>Corded</t>
    <phoneticPr fontId="24"/>
  </si>
  <si>
    <t>WS.name =</t>
    <phoneticPr fontId="27"/>
  </si>
  <si>
    <r>
      <rPr>
        <b/>
        <sz val="11"/>
        <color rgb="FF0000FF"/>
        <rFont val="ＭＳ Ｐゴシック"/>
        <family val="3"/>
        <charset val="128"/>
        <scheme val="minor"/>
      </rPr>
      <t>青字</t>
    </r>
    <r>
      <rPr>
        <sz val="11"/>
        <color theme="1"/>
        <rFont val="ＭＳ Ｐゴシック"/>
        <family val="3"/>
        <charset val="128"/>
        <scheme val="minor"/>
      </rPr>
      <t>　に入力。　</t>
    </r>
    <r>
      <rPr>
        <b/>
        <sz val="11"/>
        <color rgb="FF006600"/>
        <rFont val="ＭＳ Ｐゴシック"/>
        <family val="3"/>
        <charset val="128"/>
        <scheme val="minor"/>
      </rPr>
      <t>緑字</t>
    </r>
    <r>
      <rPr>
        <sz val="11"/>
        <color theme="1"/>
        <rFont val="ＭＳ Ｐゴシック"/>
        <family val="3"/>
        <charset val="128"/>
        <scheme val="minor"/>
      </rPr>
      <t>　が関数の戻り値　です。</t>
    </r>
    <rPh sb="0" eb="1">
      <t>アオ</t>
    </rPh>
    <rPh sb="1" eb="2">
      <t>ジ</t>
    </rPh>
    <rPh sb="4" eb="6">
      <t>ニュウリョク</t>
    </rPh>
    <rPh sb="8" eb="9">
      <t>ミドリ</t>
    </rPh>
    <rPh sb="9" eb="10">
      <t>ジ</t>
    </rPh>
    <rPh sb="12" eb="14">
      <t>カンスウ</t>
    </rPh>
    <rPh sb="15" eb="16">
      <t>モド</t>
    </rPh>
    <rPh sb="17" eb="18">
      <t>チ</t>
    </rPh>
    <phoneticPr fontId="24"/>
  </si>
  <si>
    <t>Dbg: MySRIMwb確認(1) 個別シート</t>
    <rPh sb="13" eb="15">
      <t>カクニン</t>
    </rPh>
    <rPh sb="19" eb="21">
      <t>コベツ</t>
    </rPh>
    <phoneticPr fontId="24"/>
  </si>
  <si>
    <t>srim40Ar_Si</t>
    <phoneticPr fontId="27"/>
  </si>
  <si>
    <t>srim40Ar_Si</t>
    <phoneticPr fontId="24"/>
  </si>
  <si>
    <t>srLET?2E() について</t>
    <phoneticPr fontId="24"/>
  </si>
  <si>
    <t>srLET*2E()</t>
    <phoneticPr fontId="24"/>
  </si>
  <si>
    <t>LETt</t>
    <phoneticPr fontId="24"/>
  </si>
  <si>
    <t>[MeV/(mg/cm2)]]</t>
    <phoneticPr fontId="24"/>
  </si>
  <si>
    <t>LET_Goal =</t>
    <phoneticPr fontId="24"/>
  </si>
  <si>
    <t>[MeV/mg/cm2)]</t>
    <phoneticPr fontId="24"/>
  </si>
  <si>
    <t>El</t>
    <phoneticPr fontId="24"/>
  </si>
  <si>
    <t>Eh</t>
    <phoneticPr fontId="24"/>
  </si>
  <si>
    <t>srLETe2E() =</t>
    <phoneticPr fontId="24"/>
  </si>
  <si>
    <t>srLETn2E() =</t>
    <phoneticPr fontId="24"/>
  </si>
  <si>
    <t>srLETt2E() =</t>
    <phoneticPr fontId="24"/>
  </si>
  <si>
    <t>ix</t>
    <phoneticPr fontId="24"/>
  </si>
  <si>
    <t>for Plot</t>
    <phoneticPr fontId="24"/>
  </si>
  <si>
    <t>Ei</t>
    <phoneticPr fontId="24"/>
  </si>
  <si>
    <t>Val</t>
    <phoneticPr fontId="24"/>
  </si>
  <si>
    <t>LETe2E</t>
    <phoneticPr fontId="24"/>
  </si>
  <si>
    <t>LETn2E</t>
    <phoneticPr fontId="24"/>
  </si>
  <si>
    <t>LETt2E</t>
    <phoneticPr fontId="24"/>
  </si>
  <si>
    <t>LETG</t>
    <phoneticPr fontId="24"/>
  </si>
  <si>
    <t>srim197Au_Au</t>
    <phoneticPr fontId="24"/>
  </si>
  <si>
    <t>Dbg：組合せ関数系(1b)</t>
    <rPh sb="4" eb="6">
      <t>クミアワ</t>
    </rPh>
    <rPh sb="7" eb="9">
      <t>カンスウ</t>
    </rPh>
    <rPh sb="9" eb="10">
      <t>ケイ</t>
    </rPh>
    <phoneticPr fontId="27"/>
  </si>
  <si>
    <t>Dbg：組合せ関数系(1a)</t>
    <rPh sb="4" eb="6">
      <t>クミアワ</t>
    </rPh>
    <rPh sb="7" eb="9">
      <t>カンスウ</t>
    </rPh>
    <rPh sb="9" eb="10">
      <t>ケイ</t>
    </rPh>
    <phoneticPr fontId="27"/>
  </si>
  <si>
    <t>srEnew() について</t>
    <phoneticPr fontId="24"/>
  </si>
  <si>
    <t>srE2Ix()=</t>
    <phoneticPr fontId="24"/>
  </si>
  <si>
    <t>E0</t>
    <phoneticPr fontId="24"/>
  </si>
  <si>
    <t>E1</t>
    <phoneticPr fontId="24"/>
  </si>
  <si>
    <t>en_ixE0=</t>
    <phoneticPr fontId="24"/>
  </si>
  <si>
    <t>= en_E0</t>
    <phoneticPr fontId="24"/>
  </si>
  <si>
    <t>= en_R0</t>
    <phoneticPr fontId="24"/>
  </si>
  <si>
    <t>= en_R1</t>
    <phoneticPr fontId="24"/>
  </si>
  <si>
    <t>srVal2Ix(Clm=5,Ehl=-1)=</t>
    <phoneticPr fontId="24"/>
  </si>
  <si>
    <t>含： sr_LET2E(), _FpkIx(), _Val2Ix(), _IxE2Eip()</t>
    <rPh sb="0" eb="1">
      <t>フク</t>
    </rPh>
    <phoneticPr fontId="24"/>
  </si>
  <si>
    <t>Dbg：TableSearch関数系(まとめ)</t>
    <rPh sb="15" eb="17">
      <t>カンスウ</t>
    </rPh>
    <rPh sb="17" eb="18">
      <t>ケイ</t>
    </rPh>
    <phoneticPr fontId="24"/>
  </si>
  <si>
    <t>Dbg：TableSearch関数系(２)</t>
    <rPh sb="15" eb="17">
      <t>カンスウ</t>
    </rPh>
    <rPh sb="17" eb="18">
      <t>ケイ</t>
    </rPh>
    <phoneticPr fontId="24"/>
  </si>
  <si>
    <t>Dbg：TableSearch関数系(１)</t>
    <rPh sb="15" eb="17">
      <t>カンスウ</t>
    </rPh>
    <rPh sb="17" eb="18">
      <t>ケイ</t>
    </rPh>
    <phoneticPr fontId="24"/>
  </si>
  <si>
    <t>Rng</t>
    <phoneticPr fontId="24"/>
  </si>
  <si>
    <t>ts_ixE=</t>
    <phoneticPr fontId="24"/>
  </si>
  <si>
    <t>含： sr_E2Rng(), _E2Val(), _E2Ix(), _ixE2Vip()</t>
    <rPh sb="0" eb="1">
      <t>フク</t>
    </rPh>
    <phoneticPr fontId="24"/>
  </si>
  <si>
    <t>simulate sr_E2Rng()</t>
    <phoneticPr fontId="24"/>
  </si>
  <si>
    <t>simulate sr_E2Vip() interpolation</t>
    <phoneticPr fontId="24"/>
  </si>
  <si>
    <t>Interpolation check Graphs</t>
    <phoneticPr fontId="24"/>
  </si>
  <si>
    <t>#N/A になる理由を確認の事</t>
    <rPh sb="8" eb="10">
      <t>リユウ</t>
    </rPh>
    <rPh sb="11" eb="13">
      <t>カクニン</t>
    </rPh>
    <rPh sb="14" eb="15">
      <t>コト</t>
    </rPh>
    <phoneticPr fontId="24"/>
  </si>
  <si>
    <t>E_Rng Table search と Interpolation の simulation</t>
    <phoneticPr fontId="24"/>
  </si>
  <si>
    <t>simulate sr_Rng2E()</t>
    <phoneticPr fontId="24"/>
  </si>
  <si>
    <t>V - V(ix)</t>
    <phoneticPr fontId="24"/>
  </si>
  <si>
    <t>simulate sr_ixE2Eip() interpolation</t>
    <phoneticPr fontId="24"/>
  </si>
  <si>
    <t>&lt;-</t>
  </si>
  <si>
    <t>srE2Rng(), srRng2E() について</t>
    <phoneticPr fontId="24"/>
  </si>
  <si>
    <t>含： sr_Rng2E(), _Val2E(), _Val2Ix(), _ixE2Eip()</t>
    <rPh sb="0" eb="1">
      <t>フク</t>
    </rPh>
    <phoneticPr fontId="24"/>
  </si>
  <si>
    <t>= en_E1</t>
    <phoneticPr fontId="24"/>
  </si>
  <si>
    <t>Dbg：組合せ関数系(2)</t>
    <rPh sb="4" eb="6">
      <t>クミアワ</t>
    </rPh>
    <rPh sb="7" eb="9">
      <t>カンスウ</t>
    </rPh>
    <rPh sb="9" eb="10">
      <t>ケイ</t>
    </rPh>
    <phoneticPr fontId="27"/>
  </si>
  <si>
    <t>Dbg：組合せ関数系(2G)</t>
    <rPh sb="4" eb="6">
      <t>クミアワ</t>
    </rPh>
    <rPh sb="7" eb="9">
      <t>カンスウ</t>
    </rPh>
    <rPh sb="9" eb="10">
      <t>ケイ</t>
    </rPh>
    <phoneticPr fontId="27"/>
  </si>
  <si>
    <t>含： sr_E2Enew(), __En(), _E2Val(), _Val2E()</t>
    <rPh sb="0" eb="1">
      <t>フク</t>
    </rPh>
    <phoneticPr fontId="24"/>
  </si>
  <si>
    <t>&lt;-</t>
    <phoneticPr fontId="24"/>
  </si>
  <si>
    <t>srim197Au_Al</t>
    <phoneticPr fontId="24"/>
  </si>
  <si>
    <t>srim197Au_Au</t>
    <phoneticPr fontId="24"/>
  </si>
  <si>
    <t>srDEu_eq_Eold(Ehl)</t>
    <phoneticPr fontId="24"/>
  </si>
  <si>
    <t>Ehl=</t>
    <phoneticPr fontId="24"/>
  </si>
  <si>
    <t>+1: Eh -1: El</t>
    <phoneticPr fontId="24"/>
  </si>
  <si>
    <t>Eu21</t>
    <phoneticPr fontId="24"/>
  </si>
  <si>
    <t>dEu2=dEu1</t>
    <phoneticPr fontId="24"/>
  </si>
  <si>
    <t>Th1=</t>
    <phoneticPr fontId="24"/>
  </si>
  <si>
    <t>dEut=</t>
    <phoneticPr fontId="24"/>
  </si>
  <si>
    <t>Eu mode</t>
    <phoneticPr fontId="24"/>
  </si>
  <si>
    <t>Gas mode</t>
    <phoneticPr fontId="24"/>
  </si>
  <si>
    <t>dEu1=</t>
    <phoneticPr fontId="24"/>
  </si>
  <si>
    <t>Th2=</t>
    <phoneticPr fontId="24"/>
  </si>
  <si>
    <t>= Th1*Kg2</t>
    <phoneticPr fontId="24"/>
  </si>
  <si>
    <t>E10=</t>
    <phoneticPr fontId="24"/>
  </si>
  <si>
    <t>E11=</t>
    <phoneticPr fontId="24"/>
  </si>
  <si>
    <t>= (E10-E11)</t>
    <phoneticPr fontId="24"/>
  </si>
  <si>
    <t>= (E10-E11)*A1</t>
    <phoneticPr fontId="24"/>
  </si>
  <si>
    <t>= srRng2E(WS2,Th2)</t>
    <phoneticPr fontId="24"/>
  </si>
  <si>
    <t>Th&lt;0 (Eold mode) も可能としている</t>
    <rPh sb="18" eb="20">
      <t>カノウ</t>
    </rPh>
    <phoneticPr fontId="24"/>
  </si>
  <si>
    <t>Emax=</t>
    <phoneticPr fontId="24"/>
  </si>
  <si>
    <t>Emin=</t>
    <phoneticPr fontId="24"/>
  </si>
  <si>
    <t>xlErrNum</t>
    <phoneticPr fontId="24"/>
  </si>
  <si>
    <t>#NUM!</t>
    <phoneticPr fontId="24"/>
  </si>
  <si>
    <t xml:space="preserve">E0 &lt; 0 </t>
    <phoneticPr fontId="24"/>
  </si>
  <si>
    <t>E0 &lt; 0</t>
    <phoneticPr fontId="24"/>
  </si>
  <si>
    <t>E0 = 0</t>
    <phoneticPr fontId="24"/>
  </si>
  <si>
    <t>Th=0</t>
    <phoneticPr fontId="24"/>
  </si>
  <si>
    <t>Th=R(E0)</t>
    <phoneticPr fontId="24"/>
  </si>
  <si>
    <t>R(E0)μm</t>
    <phoneticPr fontId="24"/>
  </si>
  <si>
    <t>Th&lt;0</t>
    <phoneticPr fontId="24"/>
  </si>
  <si>
    <t>E0=Emin</t>
    <phoneticPr fontId="24"/>
  </si>
  <si>
    <t>E0=Emax</t>
    <phoneticPr fontId="24"/>
  </si>
  <si>
    <t>(( Check cases ))</t>
    <phoneticPr fontId="24"/>
  </si>
  <si>
    <t>一意に定まる uniquely determined</t>
    <rPh sb="0" eb="2">
      <t>イチイ</t>
    </rPh>
    <rPh sb="3" eb="4">
      <t>サダ</t>
    </rPh>
    <phoneticPr fontId="24"/>
  </si>
  <si>
    <t>不定 indefinite</t>
    <rPh sb="0" eb="2">
      <t>フテイ</t>
    </rPh>
    <phoneticPr fontId="24"/>
  </si>
  <si>
    <t>Eu11 = 0 許可。Th2が一意に定まる為。</t>
    <rPh sb="9" eb="11">
      <t>キョカ</t>
    </rPh>
    <rPh sb="16" eb="18">
      <t>イチイ</t>
    </rPh>
    <rPh sb="19" eb="20">
      <t>サダ</t>
    </rPh>
    <rPh sb="22" eb="23">
      <t>タメ</t>
    </rPh>
    <phoneticPr fontId="24"/>
  </si>
  <si>
    <t xml:space="preserve">これは　srEnew_eq_Th()　と同上 </t>
    <rPh sb="20" eb="22">
      <t>ドウジョウ</t>
    </rPh>
    <phoneticPr fontId="24"/>
  </si>
  <si>
    <t>なるべくエラーにならないようにしている</t>
    <phoneticPr fontId="24"/>
  </si>
  <si>
    <t>E1=</t>
    <phoneticPr fontId="24"/>
  </si>
  <si>
    <t>E0</t>
    <phoneticPr fontId="24"/>
  </si>
  <si>
    <t>Th</t>
    <phoneticPr fontId="24"/>
  </si>
  <si>
    <t>any</t>
    <phoneticPr fontId="24"/>
  </si>
  <si>
    <t>any</t>
    <phoneticPr fontId="24"/>
  </si>
  <si>
    <t>normal calc</t>
    <phoneticPr fontId="24"/>
  </si>
  <si>
    <t>= #NUM!</t>
    <phoneticPr fontId="24"/>
  </si>
  <si>
    <t>= 0</t>
    <phoneticPr fontId="24"/>
  </si>
  <si>
    <t>= E0</t>
    <phoneticPr fontId="24"/>
  </si>
  <si>
    <t>Eold calc</t>
    <phoneticPr fontId="24"/>
  </si>
  <si>
    <t>-Th&gt;Rmax</t>
    <phoneticPr fontId="24"/>
  </si>
  <si>
    <t>= #N/A</t>
    <phoneticPr fontId="24"/>
  </si>
  <si>
    <t>xlErrNA</t>
    <phoneticPr fontId="24"/>
  </si>
  <si>
    <t>#N/A</t>
    <phoneticPr fontId="24"/>
  </si>
  <si>
    <t>Th &lt; 0 で -Th&gt;Rmaxの場合</t>
    <rPh sb="18" eb="20">
      <t>バアイ</t>
    </rPh>
    <phoneticPr fontId="24"/>
  </si>
  <si>
    <t>srEold() について</t>
    <phoneticPr fontId="24"/>
  </si>
  <si>
    <t>Dbg：組合せ関数系(1c)</t>
    <rPh sb="4" eb="6">
      <t>クミアワ</t>
    </rPh>
    <rPh sb="7" eb="9">
      <t>カンスウ</t>
    </rPh>
    <rPh sb="9" eb="10">
      <t>ケイ</t>
    </rPh>
    <phoneticPr fontId="27"/>
  </si>
  <si>
    <t>Th&lt;0 (Enew mode) は、面倒なので「不可」としている</t>
    <rPh sb="19" eb="21">
      <t>メンドウ</t>
    </rPh>
    <rPh sb="25" eb="27">
      <t>フカ</t>
    </rPh>
    <phoneticPr fontId="24"/>
  </si>
  <si>
    <t>含： sr_E2Eold(), _E2Val(), _Val2E()</t>
    <rPh sb="0" eb="1">
      <t>フク</t>
    </rPh>
    <phoneticPr fontId="24"/>
  </si>
  <si>
    <t>srE2Rng(E1)=</t>
    <phoneticPr fontId="24"/>
  </si>
  <si>
    <t>1) E1 -&gt; R1 check</t>
    <phoneticPr fontId="24"/>
  </si>
  <si>
    <t>2) sr_E2Eold() E-&gt;R interpolation check</t>
    <phoneticPr fontId="24"/>
  </si>
  <si>
    <r>
      <t xml:space="preserve">3) ∴en_R0 = </t>
    </r>
    <r>
      <rPr>
        <sz val="10"/>
        <color theme="1"/>
        <rFont val="ＭＳ Ｐゴシック"/>
        <family val="3"/>
        <charset val="128"/>
        <scheme val="minor"/>
      </rPr>
      <t>en_R1 + Th</t>
    </r>
    <phoneticPr fontId="24"/>
  </si>
  <si>
    <t>4) R0 -&gt; E0 check</t>
    <phoneticPr fontId="24"/>
  </si>
  <si>
    <t>5) sr_E2Eold() R-&gt;E interpolation check</t>
    <phoneticPr fontId="24"/>
  </si>
  <si>
    <t>1) E0 -&gt; R0 check</t>
    <phoneticPr fontId="24"/>
  </si>
  <si>
    <t>2) sr__En() E-&gt;R interpolation check</t>
    <phoneticPr fontId="24"/>
  </si>
  <si>
    <r>
      <t xml:space="preserve">3) ∴en_R1 = </t>
    </r>
    <r>
      <rPr>
        <sz val="10"/>
        <color theme="1"/>
        <rFont val="ＭＳ Ｐゴシック"/>
        <family val="3"/>
        <charset val="128"/>
        <scheme val="minor"/>
      </rPr>
      <t>en_R0 - Th</t>
    </r>
    <phoneticPr fontId="24"/>
  </si>
  <si>
    <t>4) R1 -&gt; E0 check</t>
    <phoneticPr fontId="24"/>
  </si>
  <si>
    <t>5) sr__En() E&lt;-R interpolation check</t>
    <phoneticPr fontId="24"/>
  </si>
  <si>
    <t>= en_Ro</t>
    <phoneticPr fontId="24"/>
  </si>
  <si>
    <t>= en_E0</t>
    <phoneticPr fontId="24"/>
  </si>
  <si>
    <t>E1 &lt; 0</t>
    <phoneticPr fontId="24"/>
  </si>
  <si>
    <t>E1 = 0</t>
    <phoneticPr fontId="24"/>
  </si>
  <si>
    <t>E0 &lt; 0 | Th &lt; 0</t>
    <phoneticPr fontId="24"/>
  </si>
  <si>
    <t>E1=Emax</t>
    <phoneticPr fontId="24"/>
  </si>
  <si>
    <t>= E1</t>
    <phoneticPr fontId="24"/>
  </si>
  <si>
    <t>E0=</t>
    <phoneticPr fontId="24"/>
  </si>
  <si>
    <t>Th&gt;0</t>
    <phoneticPr fontId="24"/>
  </si>
  <si>
    <t>ie. R0&gt;Rmax</t>
    <phoneticPr fontId="24"/>
  </si>
  <si>
    <t>Th1</t>
    <phoneticPr fontId="24"/>
  </si>
  <si>
    <t>Th2=</t>
    <phoneticPr fontId="24"/>
  </si>
  <si>
    <t>Eu10</t>
    <phoneticPr fontId="24"/>
  </si>
  <si>
    <t>&gt; Emax</t>
    <phoneticPr fontId="24"/>
  </si>
  <si>
    <t>any</t>
    <phoneticPr fontId="24"/>
  </si>
  <si>
    <t>&lt;= 0</t>
    <phoneticPr fontId="24"/>
  </si>
  <si>
    <t>&lt; 0</t>
    <phoneticPr fontId="24"/>
  </si>
  <si>
    <t>- -</t>
    <phoneticPr fontId="24"/>
  </si>
  <si>
    <t>eq_rV</t>
    <phoneticPr fontId="24"/>
  </si>
  <si>
    <t>return</t>
    <phoneticPr fontId="24"/>
  </si>
  <si>
    <t>err#</t>
    <phoneticPr fontId="24"/>
  </si>
  <si>
    <t>= -1</t>
    <phoneticPr fontId="24"/>
  </si>
  <si>
    <t>= -2</t>
    <phoneticPr fontId="24"/>
  </si>
  <si>
    <t>WS2 out of Rng(E) table</t>
    <phoneticPr fontId="24"/>
  </si>
  <si>
    <t>= -9</t>
    <phoneticPr fontId="24"/>
  </si>
  <si>
    <t>reason</t>
    <phoneticPr fontId="24"/>
  </si>
  <si>
    <t>srim40Ar_Al</t>
    <phoneticPr fontId="24"/>
  </si>
  <si>
    <t>(( Error Return ))</t>
    <phoneticPr fontId="24"/>
  </si>
  <si>
    <t>(( Need to check cases ))</t>
    <phoneticPr fontId="24"/>
  </si>
  <si>
    <t>for eq_rV= -2</t>
    <phoneticPr fontId="24"/>
  </si>
  <si>
    <t>any</t>
    <phoneticPr fontId="24"/>
  </si>
  <si>
    <t>=R(Eu10)</t>
    <phoneticPr fontId="24"/>
  </si>
  <si>
    <t>for eq_rV= -3</t>
    <phoneticPr fontId="24"/>
  </si>
  <si>
    <t>197Au_Si / 40Ar_Al</t>
    <phoneticPr fontId="24"/>
  </si>
  <si>
    <t>= -3</t>
    <phoneticPr fontId="24"/>
  </si>
  <si>
    <t xml:space="preserve">Eu11&lt;=0  ∵Th1 becomes indefinite </t>
    <phoneticPr fontId="24"/>
  </si>
  <si>
    <t>Bm1がTh1を通過後に停止</t>
    <phoneticPr fontId="24"/>
  </si>
  <si>
    <t>Bm1のTh1通過後の全エネEt11が、Bm2のTh2通過前の全エネEt20 より大きい</t>
    <rPh sb="27" eb="29">
      <t>ツウカ</t>
    </rPh>
    <rPh sb="29" eb="30">
      <t>マエ</t>
    </rPh>
    <rPh sb="31" eb="32">
      <t>ゼン</t>
    </rPh>
    <rPh sb="41" eb="42">
      <t>オオ</t>
    </rPh>
    <phoneticPr fontId="24"/>
  </si>
  <si>
    <t>= -8</t>
    <phoneticPr fontId="24"/>
  </si>
  <si>
    <t>WS1 out of Rng(E) table [never]</t>
    <phoneticPr fontId="24"/>
  </si>
  <si>
    <t>WS1 Rng(E) テーブル範囲外</t>
    <rPh sb="15" eb="17">
      <t>ハンイ</t>
    </rPh>
    <rPh sb="17" eb="18">
      <t>ガイ</t>
    </rPh>
    <phoneticPr fontId="24"/>
  </si>
  <si>
    <t>WS2 Rng(E) テーブル範囲外</t>
    <rPh sb="15" eb="17">
      <t>ハンイ</t>
    </rPh>
    <rPh sb="17" eb="18">
      <t>ガイ</t>
    </rPh>
    <phoneticPr fontId="24"/>
  </si>
  <si>
    <t>= -4</t>
    <phoneticPr fontId="24"/>
  </si>
  <si>
    <t>R20 &lt; R21 [never?]</t>
    <phoneticPr fontId="24"/>
  </si>
  <si>
    <t>OK ∵ Eu20=Eu10</t>
    <phoneticPr fontId="24"/>
  </si>
  <si>
    <t>srim132Xe_Air</t>
  </si>
  <si>
    <t>for eq_rV= -9</t>
    <phoneticPr fontId="24"/>
  </si>
  <si>
    <t>40Ar_Si / 197Au_Al</t>
    <phoneticPr fontId="24"/>
  </si>
  <si>
    <t>Eu11 = 0 不許可。Th2が不定の為。</t>
    <rPh sb="9" eb="10">
      <t>フ</t>
    </rPh>
    <rPh sb="10" eb="12">
      <t>キョカ</t>
    </rPh>
    <rPh sb="17" eb="19">
      <t>フテイ</t>
    </rPh>
    <rPh sb="20" eb="21">
      <t>タメ</t>
    </rPh>
    <phoneticPr fontId="24"/>
  </si>
  <si>
    <t>但しEnewt_eq_ の場合は、Eu11=0 も許可。Th1 が一意に定まるので。</t>
    <rPh sb="0" eb="1">
      <t>タダ</t>
    </rPh>
    <rPh sb="13" eb="15">
      <t>バアイ</t>
    </rPh>
    <rPh sb="25" eb="27">
      <t>キョカ</t>
    </rPh>
    <rPh sb="33" eb="35">
      <t>イチイ</t>
    </rPh>
    <rPh sb="36" eb="37">
      <t>サダ</t>
    </rPh>
    <phoneticPr fontId="24"/>
  </si>
  <si>
    <t>Et11 &gt; Et20 (when Enewt_eq_)</t>
    <phoneticPr fontId="24"/>
  </si>
  <si>
    <t>Eu20=</t>
    <phoneticPr fontId="24"/>
  </si>
  <si>
    <t>srim40Ar_Air</t>
  </si>
  <si>
    <t>= -5</t>
    <phoneticPr fontId="24"/>
  </si>
  <si>
    <t>Eu10 &lt; dEu2 ie dEt1 &gt; Et20</t>
    <phoneticPr fontId="24"/>
  </si>
  <si>
    <t>for eq_rV= -5</t>
    <phoneticPr fontId="24"/>
  </si>
  <si>
    <t>197Au_Au / 40Ar_Si</t>
    <phoneticPr fontId="24"/>
  </si>
  <si>
    <t xml:space="preserve"> &gt; 4</t>
    <phoneticPr fontId="24"/>
  </si>
  <si>
    <t>A1=</t>
    <phoneticPr fontId="24"/>
  </si>
  <si>
    <t>=srInfoIonA(WS1)</t>
    <phoneticPr fontId="24"/>
  </si>
  <si>
    <t>A2=</t>
    <phoneticPr fontId="24"/>
  </si>
  <si>
    <t>=srInfoIonA(WS2)</t>
    <phoneticPr fontId="24"/>
  </si>
  <si>
    <t>simulate sr__DE_eq_Eold()</t>
    <phoneticPr fontId="24"/>
  </si>
  <si>
    <t>dEu peak search</t>
    <phoneticPr fontId="24"/>
  </si>
  <si>
    <t>call srdEpkf()  : need DBG = True</t>
    <phoneticPr fontId="24"/>
  </si>
  <si>
    <t>dE goal val search</t>
    <phoneticPr fontId="24"/>
  </si>
  <si>
    <t>call srdE2ixE()  :: need DBG = True</t>
    <phoneticPr fontId="24"/>
  </si>
  <si>
    <t>dEt2max =</t>
    <phoneticPr fontId="24"/>
  </si>
  <si>
    <t>= dEu2max * A2</t>
    <phoneticPr fontId="24"/>
  </si>
  <si>
    <t xml:space="preserve"> as dEut =</t>
    <phoneticPr fontId="24"/>
  </si>
  <si>
    <t>Err22 =</t>
    <phoneticPr fontId="24"/>
  </si>
  <si>
    <t>dEuG =</t>
    <phoneticPr fontId="24"/>
  </si>
  <si>
    <t>= If( (dEu2max &lt; dEu1), True, False)</t>
    <phoneticPr fontId="24"/>
  </si>
  <si>
    <t>= If( (dEu2max = dEu1), True, False)</t>
    <phoneticPr fontId="24"/>
  </si>
  <si>
    <t>interpolation between E vs dE</t>
    <phoneticPr fontId="24"/>
  </si>
  <si>
    <t>call srdEip()  :: need DBG = True</t>
    <phoneticPr fontId="24"/>
  </si>
  <si>
    <t>E20 =</t>
    <phoneticPr fontId="24"/>
  </si>
  <si>
    <t>WS(1),WS(2)は、dbg30で指定</t>
    <rPh sb="19" eb="21">
      <t>シテイ</t>
    </rPh>
    <phoneticPr fontId="24"/>
  </si>
  <si>
    <t>グラフ E vs dE 曲線は、dbg30の表から参照</t>
    <rPh sb="12" eb="14">
      <t>キョクセン</t>
    </rPh>
    <rPh sb="22" eb="23">
      <t>ヒョウ</t>
    </rPh>
    <rPh sb="25" eb="27">
      <t>サンショウ</t>
    </rPh>
    <phoneticPr fontId="24"/>
  </si>
  <si>
    <t>= dEu2 = dEu1</t>
    <phoneticPr fontId="24"/>
  </si>
  <si>
    <t>stop dEt1</t>
    <phoneticPr fontId="24"/>
  </si>
  <si>
    <t>stop dEu1</t>
    <phoneticPr fontId="24"/>
  </si>
  <si>
    <t>stop dEu2</t>
    <phoneticPr fontId="24"/>
  </si>
  <si>
    <t>stop dEt2</t>
    <phoneticPr fontId="24"/>
  </si>
  <si>
    <t>= stop dEu2</t>
    <phoneticPr fontId="24"/>
  </si>
  <si>
    <t>R2E(Th2) = E20stp</t>
    <phoneticPr fontId="24"/>
  </si>
  <si>
    <t>&lt;-[ precondition : Th2=Th1 ]</t>
    <phoneticPr fontId="24"/>
  </si>
  <si>
    <t>&lt;-[ dEu equiv. ]</t>
    <phoneticPr fontId="24"/>
  </si>
  <si>
    <t>dEuG - dE(ix)</t>
    <phoneticPr fontId="24"/>
  </si>
  <si>
    <t>Eu20 =</t>
    <phoneticPr fontId="24"/>
  </si>
  <si>
    <t>= If( (Ehl &gt; 0), ixE0, ixE0 + 1)</t>
    <phoneticPr fontId="24"/>
  </si>
  <si>
    <t>ixE1 =</t>
    <phoneticPr fontId="24"/>
  </si>
  <si>
    <t>&lt;- dbg31,32 で参照する</t>
    <rPh sb="13" eb="15">
      <t>サンショウ</t>
    </rPh>
    <phoneticPr fontId="24"/>
  </si>
  <si>
    <t>stop dEu1</t>
    <phoneticPr fontId="24"/>
  </si>
  <si>
    <t>stop dEt1</t>
    <phoneticPr fontId="24"/>
  </si>
  <si>
    <t>stop dEu2</t>
    <phoneticPr fontId="24"/>
  </si>
  <si>
    <t>stop dEt2</t>
    <phoneticPr fontId="24"/>
  </si>
  <si>
    <t>R2E(Th2) = E20stop</t>
    <phoneticPr fontId="24"/>
  </si>
  <si>
    <t>&lt;- dbg30 から参照</t>
    <rPh sb="11" eb="13">
      <t>サンショウ</t>
    </rPh>
    <phoneticPr fontId="24"/>
  </si>
  <si>
    <t>Dbg：組合せ関数系(３a) まとめ</t>
    <rPh sb="4" eb="6">
      <t>クミアワ</t>
    </rPh>
    <rPh sb="7" eb="9">
      <t>カンスウ</t>
    </rPh>
    <rPh sb="9" eb="10">
      <t>ケイ</t>
    </rPh>
    <phoneticPr fontId="27"/>
  </si>
  <si>
    <t>Dbg：組合せ関数系(３b) DEu_eq_Eold</t>
    <rPh sb="4" eb="6">
      <t>クミアワ</t>
    </rPh>
    <rPh sb="7" eb="9">
      <t>カンスウ</t>
    </rPh>
    <rPh sb="9" eb="10">
      <t>ケイ</t>
    </rPh>
    <phoneticPr fontId="27"/>
  </si>
  <si>
    <t>Dbg：組合せ関数系(３c) DEt_eq_Eold</t>
    <rPh sb="4" eb="6">
      <t>クミアワ</t>
    </rPh>
    <rPh sb="7" eb="9">
      <t>カンスウ</t>
    </rPh>
    <rPh sb="9" eb="10">
      <t>ケイ</t>
    </rPh>
    <phoneticPr fontId="27"/>
  </si>
  <si>
    <t>&lt;-[ dEt equiv. ]</t>
    <phoneticPr fontId="24"/>
  </si>
  <si>
    <t>= dEt2/A2 = dEt1/A2</t>
    <phoneticPr fontId="24"/>
  </si>
  <si>
    <t>&lt;= 0</t>
    <phoneticPr fontId="24"/>
  </si>
  <si>
    <t>Th1=0 不可　Eu20不定になるので</t>
    <rPh sb="6" eb="8">
      <t>フカ</t>
    </rPh>
    <rPh sb="13" eb="15">
      <t>フテイ</t>
    </rPh>
    <phoneticPr fontId="24"/>
  </si>
  <si>
    <t>Estop=</t>
    <phoneticPr fontId="24"/>
  </si>
  <si>
    <t>dEu(Estop)=</t>
    <phoneticPr fontId="24"/>
  </si>
  <si>
    <t>dEpk =</t>
    <phoneticPr fontId="24"/>
  </si>
  <si>
    <t>EdEpk =</t>
    <phoneticPr fontId="24"/>
  </si>
  <si>
    <t>= If( (dEpk &gt; Estop), EdEpk, Estop)</t>
    <phoneticPr fontId="24"/>
  </si>
  <si>
    <t>EdEu2max =</t>
    <phoneticPr fontId="24"/>
  </si>
  <si>
    <t>dEu2max =</t>
    <phoneticPr fontId="24"/>
  </si>
  <si>
    <t>= If( (dEpk &gt; Estop), dEpk, Estop)</t>
    <phoneticPr fontId="24"/>
  </si>
  <si>
    <r>
      <t xml:space="preserve">= </t>
    </r>
    <r>
      <rPr>
        <i/>
        <sz val="10"/>
        <color rgb="FFC00000"/>
        <rFont val="ＭＳ Ｐゴシック"/>
        <family val="3"/>
        <charset val="128"/>
        <scheme val="minor"/>
      </rPr>
      <t>srdEfpk</t>
    </r>
    <r>
      <rPr>
        <i/>
        <sz val="10"/>
        <color theme="1"/>
        <rFont val="ＭＳ Ｐゴシック"/>
        <family val="3"/>
        <charset val="128"/>
        <scheme val="minor"/>
      </rPr>
      <t>(WS2,ES=Estop,Th2,Odr=1)</t>
    </r>
    <phoneticPr fontId="24"/>
  </si>
  <si>
    <r>
      <t xml:space="preserve">= </t>
    </r>
    <r>
      <rPr>
        <i/>
        <sz val="10"/>
        <color rgb="FFC00000"/>
        <rFont val="ＭＳ Ｐゴシック"/>
        <family val="3"/>
        <charset val="128"/>
        <scheme val="minor"/>
      </rPr>
      <t>srdEfpkE</t>
    </r>
    <r>
      <rPr>
        <i/>
        <sz val="10"/>
        <color theme="1"/>
        <rFont val="ＭＳ Ｐゴシック"/>
        <family val="3"/>
        <charset val="128"/>
        <scheme val="minor"/>
      </rPr>
      <t>(WS2,ES=Estop,Th2,Odr=1)</t>
    </r>
    <phoneticPr fontId="24"/>
  </si>
  <si>
    <r>
      <t xml:space="preserve">= </t>
    </r>
    <r>
      <rPr>
        <i/>
        <sz val="10"/>
        <color rgb="FFC00000"/>
        <rFont val="ＭＳ Ｐゴシック"/>
        <family val="3"/>
        <charset val="128"/>
        <scheme val="minor"/>
      </rPr>
      <t>srdE2ixE</t>
    </r>
    <r>
      <rPr>
        <i/>
        <sz val="10"/>
        <color theme="1"/>
        <rFont val="ＭＳ Ｐゴシック"/>
        <family val="3"/>
        <charset val="128"/>
        <scheme val="minor"/>
      </rPr>
      <t>(WS2,ES=EdEu2max,Th2,Odr=Ehl)</t>
    </r>
    <phoneticPr fontId="24"/>
  </si>
  <si>
    <r>
      <t xml:space="preserve">= </t>
    </r>
    <r>
      <rPr>
        <i/>
        <sz val="10"/>
        <color rgb="FFC00000"/>
        <rFont val="ＭＳ Ｐゴシック"/>
        <family val="3"/>
        <charset val="128"/>
        <scheme val="minor"/>
      </rPr>
      <t>srdEip</t>
    </r>
    <r>
      <rPr>
        <i/>
        <sz val="10"/>
        <color theme="1"/>
        <rFont val="ＭＳ Ｐゴシック"/>
        <family val="3"/>
        <charset val="128"/>
        <scheme val="minor"/>
      </rPr>
      <t>(Th2, dEuG, ixE0, ixE1)</t>
    </r>
    <phoneticPr fontId="24"/>
  </si>
  <si>
    <t>ixE1 =</t>
    <phoneticPr fontId="24"/>
  </si>
  <si>
    <t>ixE0 =</t>
    <phoneticPr fontId="24"/>
  </si>
  <si>
    <t>ixE0=</t>
    <phoneticPr fontId="24"/>
  </si>
  <si>
    <t>dEuG=</t>
    <phoneticPr fontId="24"/>
  </si>
  <si>
    <t>誤差</t>
    <rPh sb="0" eb="2">
      <t>ゴサ</t>
    </rPh>
    <phoneticPr fontId="24"/>
  </si>
  <si>
    <t>Err23 =</t>
    <phoneticPr fontId="24"/>
  </si>
  <si>
    <t>等、メッセージ表示</t>
    <rPh sb="0" eb="1">
      <t>トウ</t>
    </rPh>
    <rPh sb="7" eb="9">
      <t>ヒョウジ</t>
    </rPh>
    <phoneticPr fontId="24"/>
  </si>
  <si>
    <t>Err/Warn</t>
    <phoneticPr fontId="24"/>
  </si>
  <si>
    <t>(( Err Ret ))</t>
    <phoneticPr fontId="24"/>
  </si>
  <si>
    <t>= -11</t>
    <phoneticPr fontId="24"/>
  </si>
  <si>
    <t>dEpk search Err</t>
    <phoneticPr fontId="24"/>
  </si>
  <si>
    <t>dEpk not found [never]</t>
    <phoneticPr fontId="24"/>
  </si>
  <si>
    <t>= -12</t>
    <phoneticPr fontId="24"/>
  </si>
  <si>
    <t>deEu2max &lt; dEu1</t>
    <phoneticPr fontId="24"/>
  </si>
  <si>
    <t xml:space="preserve">No Answer </t>
    <phoneticPr fontId="24"/>
  </si>
  <si>
    <t>deEu2max = dEu1</t>
    <phoneticPr fontId="24"/>
  </si>
  <si>
    <t>= E20 stop</t>
    <phoneticPr fontId="24"/>
  </si>
  <si>
    <t>Only One Answer</t>
    <phoneticPr fontId="24"/>
  </si>
  <si>
    <t>= -14</t>
    <phoneticPr fontId="24"/>
  </si>
  <si>
    <t>dE2ixE error</t>
    <phoneticPr fontId="24"/>
  </si>
  <si>
    <t>解がWS2 Rng(E) テーブルの範囲外</t>
    <rPh sb="0" eb="1">
      <t>カイ</t>
    </rPh>
    <phoneticPr fontId="24"/>
  </si>
  <si>
    <t>for eq_rV= -12, -13</t>
    <phoneticPr fontId="24"/>
  </si>
  <si>
    <t>197Au_Al / 40Ar_Si</t>
    <phoneticPr fontId="24"/>
  </si>
  <si>
    <t>srMinE()=</t>
    <phoneticPr fontId="24"/>
  </si>
  <si>
    <t>srMaxE()=</t>
    <phoneticPr fontId="24"/>
  </si>
  <si>
    <t>for dEu Goal plot</t>
    <phoneticPr fontId="24"/>
  </si>
  <si>
    <t>for dEu|dEt Goal plot</t>
    <phoneticPr fontId="24"/>
  </si>
  <si>
    <t>srDEt_eq_Eold(Ehl)</t>
    <phoneticPr fontId="24"/>
  </si>
  <si>
    <t>= If( (dEt2max &lt; dEt1), True, False)</t>
    <phoneticPr fontId="24"/>
  </si>
  <si>
    <t>= If( (dEt2max = dEt1), True, False)</t>
    <phoneticPr fontId="24"/>
  </si>
  <si>
    <t>dEt2=dEt1</t>
    <phoneticPr fontId="24"/>
  </si>
  <si>
    <t>dEu2=dEu1</t>
    <phoneticPr fontId="24"/>
  </si>
  <si>
    <t>= stop dEt2</t>
    <phoneticPr fontId="24"/>
  </si>
  <si>
    <t>dEt(Estop)=</t>
    <phoneticPr fontId="24"/>
  </si>
  <si>
    <t>Dbg：組合せ関数系(３d) Gas版まとめ</t>
    <rPh sb="4" eb="6">
      <t>クミアワ</t>
    </rPh>
    <rPh sb="7" eb="9">
      <t>カンスウ</t>
    </rPh>
    <rPh sb="9" eb="10">
      <t>ケイ</t>
    </rPh>
    <rPh sb="18" eb="19">
      <t>バン</t>
    </rPh>
    <phoneticPr fontId="27"/>
  </si>
  <si>
    <t>srDE{u|t}_eq_Eold()</t>
    <phoneticPr fontId="24"/>
  </si>
  <si>
    <t>srDE{u|t}_eq_EoldGas()</t>
    <phoneticPr fontId="24"/>
  </si>
  <si>
    <r>
      <t>E2R(Eu10)</t>
    </r>
    <r>
      <rPr>
        <sz val="10"/>
        <color rgb="FFFF0000"/>
        <rFont val="ＭＳ Ｐゴシック"/>
        <family val="3"/>
        <charset val="128"/>
        <scheme val="minor"/>
      </rPr>
      <t>mm</t>
    </r>
    <phoneticPr fontId="24"/>
  </si>
  <si>
    <r>
      <t>maxLET [MeV/</t>
    </r>
    <r>
      <rPr>
        <sz val="9"/>
        <color rgb="FFFF0000"/>
        <rFont val="ＭＳ Ｐゴシック"/>
        <family val="3"/>
        <charset val="128"/>
        <scheme val="minor"/>
      </rPr>
      <t>mm</t>
    </r>
    <r>
      <rPr>
        <sz val="9"/>
        <color theme="1"/>
        <rFont val="ＭＳ Ｐゴシック"/>
        <family val="3"/>
        <charset val="128"/>
        <scheme val="minor"/>
      </rPr>
      <t xml:space="preserve">] @Eu10 </t>
    </r>
    <phoneticPr fontId="24"/>
  </si>
  <si>
    <t>srim132Xe_Air</t>
    <phoneticPr fontId="24"/>
  </si>
  <si>
    <t>Kg1=</t>
    <phoneticPr fontId="24"/>
  </si>
  <si>
    <t>Kg2=</t>
    <phoneticPr fontId="24"/>
  </si>
  <si>
    <t>132Xe_Air / 40Ar_Air</t>
    <phoneticPr fontId="24"/>
  </si>
  <si>
    <t>Th1mm</t>
    <phoneticPr fontId="24"/>
  </si>
  <si>
    <t>srim40Ar_Au</t>
    <phoneticPr fontId="24"/>
  </si>
  <si>
    <t>srim84Kr_Si</t>
    <phoneticPr fontId="24"/>
  </si>
  <si>
    <t>AddInマクロ版 : セル内の式 = srFuncName()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</si>
</sst>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176" formatCode="0.000_ "/>
    <numFmt numFmtId="177" formatCode="0.00000_ "/>
    <numFmt numFmtId="178" formatCode="0.00_ "/>
    <numFmt numFmtId="179" formatCode="0.00000"/>
    <numFmt numFmtId="180" formatCode="0.000"/>
    <numFmt numFmtId="181" formatCode="0.0"/>
    <numFmt numFmtId="182" formatCode="0.0E+00"/>
    <numFmt numFmtId="183" formatCode="0.000.E+00"/>
    <numFmt numFmtId="184" formatCode="0.0000"/>
    <numFmt numFmtId="185" formatCode="0.0_ "/>
    <numFmt numFmtId="186" formatCode="0.0000000_ "/>
    <numFmt numFmtId="187" formatCode="0.000E+00"/>
    <numFmt numFmtId="188" formatCode="&quot;ix   &quot;0"/>
    <numFmt numFmtId="189" formatCode="&quot;ix-1 &quot;0"/>
    <numFmt numFmtId="190" formatCode="&quot;ix+1 &quot;0"/>
    <numFmt numFmtId="191" formatCode="&quot;ix-2 &quot;0"/>
    <numFmt numFmtId="192" formatCode="&quot;ix+2 &quot;0"/>
    <numFmt numFmtId="193" formatCode="&quot;= &quot;0.00E+00"/>
    <numFmt numFmtId="194" formatCode="0&quot; or 0&quot;"/>
    <numFmt numFmtId="195" formatCode="0.0%"/>
    <numFmt numFmtId="196" formatCode="0.000_);[Red]\(0.000\)"/>
    <numFmt numFmtId="197" formatCode="&quot;Eu20Min= &quot;0.000"/>
    <numFmt numFmtId="198" formatCode="0.0_ ;[Red]\-0.0\ "/>
    <numFmt numFmtId="199" formatCode="0.00_ ;[Red]\-0.00\ "/>
    <numFmt numFmtId="200" formatCode="0.000_ ;[Red]\-0.000\ "/>
    <numFmt numFmtId="201" formatCode="&quot;A= &quot;0"/>
    <numFmt numFmtId="202" formatCode="0_ ;[Red]\-0\ "/>
    <numFmt numFmtId="203" formatCode="&quot;@ Eu10=&quot;0.00"/>
    <numFmt numFmtId="204" formatCode="&quot;@ Eu20=&quot;0.00"/>
    <numFmt numFmtId="205" formatCode="0.00_);[Red]\(0.00\)"/>
    <numFmt numFmtId="206" formatCode="&quot;LET@ &quot;0%"/>
    <numFmt numFmtId="207" formatCode="0_ "/>
    <numFmt numFmtId="208" formatCode="0.000000"/>
    <numFmt numFmtId="209" formatCode="&quot;ixE0 &quot;0"/>
    <numFmt numFmtId="210" formatCode="&quot;ixE1 &quot;0"/>
    <numFmt numFmtId="211" formatCode="0.0000_ "/>
    <numFmt numFmtId="212" formatCode="0.0000_ ;[Red]\-0.0000\ "/>
  </numFmts>
  <fonts count="9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  <charset val="204"/>
    </font>
    <font>
      <sz val="10"/>
      <name val="MS Sans Serif"/>
      <family val="2"/>
    </font>
    <font>
      <sz val="10"/>
      <name val="Geneva"/>
      <family val="2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rgb="FF0000FF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細明朝体"/>
      <family val="3"/>
      <charset val="128"/>
    </font>
    <font>
      <sz val="10"/>
      <name val="細明朝体"/>
      <family val="3"/>
      <charset val="128"/>
    </font>
    <font>
      <sz val="10"/>
      <color rgb="FF0070C0"/>
      <name val="ＭＳ Ｐゴシック"/>
      <family val="3"/>
      <charset val="128"/>
      <scheme val="minor"/>
    </font>
    <font>
      <sz val="10"/>
      <color rgb="FF00B05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2"/>
      <name val="Osaka"/>
      <family val="3"/>
      <charset val="128"/>
    </font>
    <font>
      <sz val="11"/>
      <color rgb="FF0099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i/>
      <sz val="9"/>
      <color theme="1"/>
      <name val="ＭＳ Ｐゴシック"/>
      <family val="3"/>
      <charset val="128"/>
      <scheme val="minor"/>
    </font>
    <font>
      <b/>
      <sz val="12"/>
      <color rgb="FFC00000"/>
      <name val="ＭＳ Ｐゴシック"/>
      <family val="3"/>
      <charset val="128"/>
      <scheme val="minor"/>
    </font>
    <font>
      <sz val="10"/>
      <color rgb="FF006600"/>
      <name val="ＭＳ Ｐゴシック"/>
      <family val="3"/>
      <charset val="128"/>
      <scheme val="minor"/>
    </font>
    <font>
      <sz val="11"/>
      <color rgb="FF006600"/>
      <name val="ＭＳ Ｐゴシック"/>
      <family val="3"/>
      <charset val="128"/>
      <scheme val="minor"/>
    </font>
    <font>
      <sz val="9"/>
      <color rgb="FF006600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11"/>
      <color rgb="FF0066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0"/>
      <color rgb="FFC00000"/>
      <name val="ＭＳ Ｐゴシック"/>
      <family val="3"/>
      <charset val="128"/>
      <scheme val="minor"/>
    </font>
    <font>
      <sz val="10"/>
      <color rgb="FFFF00FF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  <scheme val="minor"/>
    </font>
    <font>
      <sz val="10"/>
      <color rgb="FF7030A0"/>
      <name val="ＭＳ Ｐゴシック"/>
      <family val="3"/>
      <charset val="128"/>
      <scheme val="minor"/>
    </font>
    <font>
      <sz val="10"/>
      <color theme="1" tint="0.34998626667073579"/>
      <name val="ＭＳ Ｐゴシック"/>
      <family val="3"/>
      <charset val="128"/>
      <scheme val="minor"/>
    </font>
    <font>
      <sz val="9"/>
      <color rgb="FFC0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i/>
      <sz val="9"/>
      <color rgb="FF9933FF"/>
      <name val="ＭＳ Ｐゴシック"/>
      <family val="3"/>
      <charset val="128"/>
      <scheme val="minor"/>
    </font>
    <font>
      <sz val="10"/>
      <color rgb="FF9933FF"/>
      <name val="ＭＳ Ｐゴシック"/>
      <family val="3"/>
      <charset val="128"/>
      <scheme val="minor"/>
    </font>
    <font>
      <i/>
      <sz val="8"/>
      <color rgb="FF9933FF"/>
      <name val="ＭＳ Ｐゴシック"/>
      <family val="3"/>
      <charset val="128"/>
      <scheme val="minor"/>
    </font>
    <font>
      <i/>
      <sz val="10"/>
      <color rgb="FF9933FF"/>
      <name val="ＭＳ Ｐゴシック"/>
      <family val="3"/>
      <charset val="128"/>
      <scheme val="minor"/>
    </font>
    <font>
      <i/>
      <sz val="10"/>
      <color theme="1" tint="0.249977111117893"/>
      <name val="ＭＳ Ｐゴシック"/>
      <family val="3"/>
      <charset val="128"/>
      <scheme val="minor"/>
    </font>
    <font>
      <sz val="10"/>
      <color theme="1" tint="0.499984740745262"/>
      <name val="ＭＳ Ｐゴシック"/>
      <family val="3"/>
      <charset val="128"/>
      <scheme val="minor"/>
    </font>
    <font>
      <sz val="10"/>
      <color theme="1" tint="0.249977111117893"/>
      <name val="ＭＳ Ｐゴシック"/>
      <family val="3"/>
      <charset val="128"/>
      <scheme val="minor"/>
    </font>
    <font>
      <b/>
      <sz val="10"/>
      <color theme="1" tint="0.249977111117893"/>
      <name val="ＭＳ Ｐゴシック"/>
      <family val="3"/>
      <charset val="128"/>
      <scheme val="minor"/>
    </font>
    <font>
      <b/>
      <i/>
      <sz val="10"/>
      <color theme="1" tint="0.249977111117893"/>
      <name val="ＭＳ Ｐゴシック"/>
      <family val="3"/>
      <charset val="128"/>
      <scheme val="minor"/>
    </font>
    <font>
      <i/>
      <sz val="11"/>
      <color rgb="FFC00000"/>
      <name val="ＭＳ Ｐゴシック"/>
      <family val="3"/>
      <charset val="128"/>
      <scheme val="minor"/>
    </font>
    <font>
      <b/>
      <sz val="10"/>
      <color rgb="FF006600"/>
      <name val="ＭＳ Ｐゴシック"/>
      <family val="3"/>
      <charset val="128"/>
      <scheme val="minor"/>
    </font>
    <font>
      <sz val="10"/>
      <color rgb="FF009900"/>
      <name val="ＭＳ Ｐゴシック"/>
      <family val="3"/>
      <charset val="128"/>
      <scheme val="minor"/>
    </font>
    <font>
      <i/>
      <sz val="10"/>
      <color theme="3"/>
      <name val="ＭＳ Ｐゴシック"/>
      <family val="3"/>
      <charset val="128"/>
      <scheme val="minor"/>
    </font>
    <font>
      <b/>
      <i/>
      <sz val="10"/>
      <color rgb="FF0000FF"/>
      <name val="ＭＳ Ｐゴシック"/>
      <family val="3"/>
      <charset val="128"/>
      <scheme val="minor"/>
    </font>
    <font>
      <i/>
      <sz val="9"/>
      <color rgb="FFC00000"/>
      <name val="ＭＳ Ｐゴシック"/>
      <family val="3"/>
      <charset val="128"/>
      <scheme val="minor"/>
    </font>
    <font>
      <i/>
      <sz val="10"/>
      <color rgb="FFC00000"/>
      <name val="ＭＳ Ｐゴシック"/>
      <family val="3"/>
      <charset val="128"/>
      <scheme val="minor"/>
    </font>
    <font>
      <b/>
      <sz val="11"/>
      <color rgb="FFC00000"/>
      <name val="ＭＳ Ｐゴシック"/>
      <family val="3"/>
      <charset val="128"/>
      <scheme val="minor"/>
    </font>
    <font>
      <i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i/>
      <sz val="12"/>
      <color rgb="FFC00000"/>
      <name val="ＭＳ Ｐゴシック"/>
      <family val="3"/>
      <charset val="128"/>
      <scheme val="minor"/>
    </font>
    <font>
      <b/>
      <sz val="10"/>
      <color rgb="FFC00000"/>
      <name val="ＭＳ Ｐゴシック"/>
      <family val="3"/>
      <charset val="128"/>
      <scheme val="minor"/>
    </font>
    <font>
      <b/>
      <sz val="10"/>
      <color rgb="FFFF00FF"/>
      <name val="ＭＳ Ｐゴシック"/>
      <family val="3"/>
      <charset val="128"/>
      <scheme val="minor"/>
    </font>
    <font>
      <sz val="10"/>
      <color rgb="FF0000FF"/>
      <name val="ＭＳ Ｐゴシック"/>
      <family val="3"/>
      <charset val="128"/>
      <scheme val="minor"/>
    </font>
    <font>
      <i/>
      <sz val="10"/>
      <color rgb="FF0000FF"/>
      <name val="ＭＳ Ｐゴシック"/>
      <family val="3"/>
      <charset val="128"/>
      <scheme val="minor"/>
    </font>
    <font>
      <i/>
      <sz val="11"/>
      <color theme="3"/>
      <name val="ＭＳ Ｐゴシック"/>
      <family val="3"/>
      <charset val="128"/>
      <scheme val="minor"/>
    </font>
    <font>
      <sz val="8"/>
      <color theme="1" tint="0.34998626667073579"/>
      <name val="ＭＳ Ｐゴシック"/>
      <family val="3"/>
      <charset val="128"/>
      <scheme val="minor"/>
    </font>
    <font>
      <sz val="9"/>
      <color theme="1" tint="0.249977111117893"/>
      <name val="ＭＳ Ｐゴシック"/>
      <family val="3"/>
      <charset val="128"/>
      <scheme val="minor"/>
    </font>
    <font>
      <sz val="8"/>
      <color rgb="FF006600"/>
      <name val="ＭＳ Ｐゴシック"/>
      <family val="3"/>
      <charset val="128"/>
      <scheme val="minor"/>
    </font>
    <font>
      <sz val="6"/>
      <color theme="1" tint="0.49998474074526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color theme="1" tint="0.499984740745262"/>
      <name val="ＭＳ Ｐゴシック"/>
      <family val="3"/>
      <charset val="128"/>
      <scheme val="minor"/>
    </font>
    <font>
      <b/>
      <i/>
      <sz val="10"/>
      <color rgb="FFC00000"/>
      <name val="ＭＳ Ｐゴシック"/>
      <family val="3"/>
      <charset val="128"/>
      <scheme val="minor"/>
    </font>
    <font>
      <i/>
      <sz val="11"/>
      <color rgb="FF9933FF"/>
      <name val="ＭＳ Ｐゴシック"/>
      <family val="3"/>
      <charset val="128"/>
      <scheme val="minor"/>
    </font>
    <font>
      <sz val="11"/>
      <color rgb="FF6600FF"/>
      <name val="ＭＳ Ｐゴシック"/>
      <family val="3"/>
      <charset val="128"/>
      <scheme val="minor"/>
    </font>
    <font>
      <sz val="10"/>
      <color rgb="FF6600FF"/>
      <name val="ＭＳ Ｐゴシック"/>
      <family val="3"/>
      <charset val="128"/>
      <scheme val="minor"/>
    </font>
    <font>
      <i/>
      <sz val="11"/>
      <color rgb="FF6600FF"/>
      <name val="ＭＳ Ｐゴシック"/>
      <family val="3"/>
      <charset val="128"/>
      <scheme val="minor"/>
    </font>
    <font>
      <sz val="11"/>
      <color rgb="FF9933FF"/>
      <name val="ＭＳ Ｐゴシック"/>
      <family val="3"/>
      <charset val="128"/>
      <scheme val="minor"/>
    </font>
    <font>
      <i/>
      <sz val="10"/>
      <color rgb="FFFF0000"/>
      <name val="ＭＳ Ｐゴシック"/>
      <family val="3"/>
      <charset val="128"/>
      <scheme val="minor"/>
    </font>
    <font>
      <i/>
      <sz val="10"/>
      <color rgb="FF6600FF"/>
      <name val="ＭＳ Ｐゴシック"/>
      <family val="3"/>
      <charset val="128"/>
      <scheme val="minor"/>
    </font>
    <font>
      <i/>
      <sz val="11"/>
      <color rgb="FF0000FF"/>
      <name val="ＭＳ Ｐゴシック"/>
      <family val="3"/>
      <charset val="128"/>
      <scheme val="minor"/>
    </font>
    <font>
      <i/>
      <sz val="11"/>
      <color rgb="FFFF0000"/>
      <name val="ＭＳ Ｐゴシック"/>
      <family val="3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5">
    <xf numFmtId="0" fontId="0" fillId="0" borderId="0">
      <alignment vertical="center"/>
    </xf>
    <xf numFmtId="0" fontId="16" fillId="0" borderId="0"/>
    <xf numFmtId="0" fontId="19" fillId="0" borderId="0">
      <alignment vertical="center"/>
    </xf>
    <xf numFmtId="0" fontId="15" fillId="0" borderId="0"/>
    <xf numFmtId="0" fontId="19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/>
    <xf numFmtId="0" fontId="12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11" fillId="0" borderId="0">
      <alignment vertical="center"/>
    </xf>
    <xf numFmtId="0" fontId="33" fillId="0" borderId="0"/>
    <xf numFmtId="0" fontId="34" fillId="0" borderId="0">
      <alignment vertical="center"/>
    </xf>
    <xf numFmtId="0" fontId="3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36" fillId="0" borderId="0"/>
    <xf numFmtId="38" fontId="36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007">
    <xf numFmtId="0" fontId="0" fillId="0" borderId="0" xfId="0">
      <alignment vertical="center"/>
    </xf>
    <xf numFmtId="0" fontId="22" fillId="0" borderId="0" xfId="10" applyFont="1" applyFill="1">
      <alignment vertical="center"/>
    </xf>
    <xf numFmtId="0" fontId="22" fillId="0" borderId="0" xfId="10" applyFont="1" applyFill="1" applyAlignment="1">
      <alignment horizontal="right" vertical="center"/>
    </xf>
    <xf numFmtId="0" fontId="22" fillId="0" borderId="0" xfId="10" applyFont="1" applyFill="1" applyAlignment="1">
      <alignment horizontal="left" vertical="center"/>
    </xf>
    <xf numFmtId="0" fontId="20" fillId="0" borderId="0" xfId="11" applyFont="1" applyFill="1" applyAlignment="1">
      <alignment vertical="center"/>
    </xf>
    <xf numFmtId="0" fontId="22" fillId="0" borderId="0" xfId="10" applyFont="1" applyFill="1" applyBorder="1">
      <alignment vertical="center"/>
    </xf>
    <xf numFmtId="0" fontId="22" fillId="0" borderId="0" xfId="10" applyFont="1" applyFill="1" applyBorder="1" applyAlignment="1">
      <alignment horizontal="right" vertical="center"/>
    </xf>
    <xf numFmtId="11" fontId="22" fillId="0" borderId="0" xfId="11" quotePrefix="1" applyNumberFormat="1" applyFont="1" applyFill="1" applyBorder="1" applyAlignment="1">
      <alignment vertical="center"/>
    </xf>
    <xf numFmtId="0" fontId="31" fillId="0" borderId="0" xfId="0" applyFont="1">
      <alignment vertical="center"/>
    </xf>
    <xf numFmtId="0" fontId="2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>
      <alignment vertical="center"/>
    </xf>
    <xf numFmtId="0" fontId="22" fillId="0" borderId="11" xfId="10" applyFont="1" applyFill="1" applyBorder="1" applyAlignment="1">
      <alignment horizontal="right" vertical="center"/>
    </xf>
    <xf numFmtId="0" fontId="25" fillId="0" borderId="0" xfId="0" quotePrefix="1" applyFont="1">
      <alignment vertical="center"/>
    </xf>
    <xf numFmtId="0" fontId="20" fillId="0" borderId="0" xfId="11" applyFont="1" applyFill="1" applyBorder="1" applyAlignment="1">
      <alignment vertical="center"/>
    </xf>
    <xf numFmtId="0" fontId="29" fillId="0" borderId="0" xfId="11" applyFont="1" applyFill="1" applyBorder="1" applyAlignment="1">
      <alignment horizontal="left" vertical="center"/>
    </xf>
    <xf numFmtId="0" fontId="25" fillId="0" borderId="0" xfId="10" applyFont="1" applyFill="1" applyBorder="1">
      <alignment vertical="center"/>
    </xf>
    <xf numFmtId="0" fontId="29" fillId="0" borderId="0" xfId="11" applyFont="1" applyFill="1" applyBorder="1" applyAlignment="1">
      <alignment vertical="center"/>
    </xf>
    <xf numFmtId="0" fontId="22" fillId="0" borderId="9" xfId="10" applyFont="1" applyFill="1" applyBorder="1" applyAlignment="1">
      <alignment horizontal="right" vertical="center"/>
    </xf>
    <xf numFmtId="0" fontId="21" fillId="0" borderId="0" xfId="0" applyFont="1">
      <alignment vertical="center"/>
    </xf>
    <xf numFmtId="0" fontId="22" fillId="0" borderId="1" xfId="10" applyFont="1" applyFill="1" applyBorder="1" applyAlignment="1">
      <alignment horizontal="right" vertical="center"/>
    </xf>
    <xf numFmtId="0" fontId="22" fillId="0" borderId="10" xfId="10" applyFont="1" applyFill="1" applyBorder="1" applyAlignment="1">
      <alignment horizontal="right" vertical="center"/>
    </xf>
    <xf numFmtId="0" fontId="22" fillId="0" borderId="0" xfId="10" quotePrefix="1" applyFont="1" applyFill="1" applyBorder="1">
      <alignment vertical="center"/>
    </xf>
    <xf numFmtId="0" fontId="38" fillId="0" borderId="0" xfId="10" applyFont="1" applyFill="1" applyAlignment="1">
      <alignment horizontal="left" vertical="center"/>
    </xf>
    <xf numFmtId="0" fontId="0" fillId="0" borderId="0" xfId="0" quotePrefix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quotePrefix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quotePrefix="1" applyFont="1">
      <alignment vertical="center"/>
    </xf>
    <xf numFmtId="0" fontId="0" fillId="0" borderId="0" xfId="0" quotePrefix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2" borderId="0" xfId="0" applyFill="1">
      <alignment vertical="center"/>
    </xf>
    <xf numFmtId="0" fontId="39" fillId="2" borderId="0" xfId="0" applyFont="1" applyFill="1">
      <alignment vertical="center"/>
    </xf>
    <xf numFmtId="0" fontId="41" fillId="0" borderId="0" xfId="0" applyFont="1">
      <alignment vertical="center"/>
    </xf>
    <xf numFmtId="0" fontId="22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1" fillId="0" borderId="0" xfId="0" applyFont="1" applyFill="1" applyBorder="1">
      <alignment vertical="center"/>
    </xf>
    <xf numFmtId="0" fontId="37" fillId="0" borderId="0" xfId="0" applyFont="1" applyFill="1" applyBorder="1">
      <alignment vertical="center"/>
    </xf>
    <xf numFmtId="2" fontId="37" fillId="0" borderId="0" xfId="0" applyNumberFormat="1" applyFont="1" applyFill="1" applyBorder="1">
      <alignment vertical="center"/>
    </xf>
    <xf numFmtId="0" fontId="22" fillId="0" borderId="0" xfId="0" quotePrefix="1" applyFont="1" applyFill="1" applyBorder="1">
      <alignment vertical="center"/>
    </xf>
    <xf numFmtId="0" fontId="22" fillId="0" borderId="8" xfId="10" applyFont="1" applyFill="1" applyBorder="1">
      <alignment vertical="center"/>
    </xf>
    <xf numFmtId="0" fontId="22" fillId="0" borderId="0" xfId="10" applyFont="1" applyFill="1" applyAlignment="1">
      <alignment horizontal="center" vertical="center"/>
    </xf>
    <xf numFmtId="178" fontId="43" fillId="0" borderId="0" xfId="89" applyNumberFormat="1" applyFont="1" applyFill="1" applyBorder="1">
      <alignment vertical="center"/>
    </xf>
    <xf numFmtId="0" fontId="44" fillId="0" borderId="0" xfId="0" quotePrefix="1" applyFont="1" applyFill="1" applyBorder="1">
      <alignment vertical="center"/>
    </xf>
    <xf numFmtId="11" fontId="42" fillId="0" borderId="0" xfId="10" applyNumberFormat="1" applyFont="1" applyFill="1" applyBorder="1" applyAlignment="1">
      <alignment horizontal="right" vertical="center"/>
    </xf>
    <xf numFmtId="11" fontId="42" fillId="0" borderId="6" xfId="10" applyNumberFormat="1" applyFont="1" applyFill="1" applyBorder="1" applyAlignment="1">
      <alignment horizontal="right" vertical="center"/>
    </xf>
    <xf numFmtId="11" fontId="42" fillId="0" borderId="7" xfId="10" applyNumberFormat="1" applyFont="1" applyFill="1" applyBorder="1" applyAlignment="1">
      <alignment horizontal="right" vertical="center"/>
    </xf>
    <xf numFmtId="11" fontId="42" fillId="0" borderId="8" xfId="10" applyNumberFormat="1" applyFont="1" applyFill="1" applyBorder="1" applyAlignment="1">
      <alignment horizontal="right" vertical="center"/>
    </xf>
    <xf numFmtId="0" fontId="22" fillId="0" borderId="12" xfId="10" applyFont="1" applyFill="1" applyBorder="1" applyAlignment="1">
      <alignment horizontal="center" vertical="center"/>
    </xf>
    <xf numFmtId="0" fontId="22" fillId="0" borderId="13" xfId="10" applyFont="1" applyFill="1" applyBorder="1" applyAlignment="1">
      <alignment horizontal="center" vertical="center"/>
    </xf>
    <xf numFmtId="0" fontId="22" fillId="0" borderId="11" xfId="10" applyFont="1" applyFill="1" applyBorder="1">
      <alignment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3" xfId="10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47" fillId="2" borderId="0" xfId="0" applyFont="1" applyFill="1">
      <alignment vertical="center"/>
    </xf>
    <xf numFmtId="0" fontId="32" fillId="2" borderId="0" xfId="0" applyFont="1" applyFill="1">
      <alignment vertical="center"/>
    </xf>
    <xf numFmtId="0" fontId="48" fillId="2" borderId="0" xfId="0" applyFont="1" applyFill="1">
      <alignment vertical="center"/>
    </xf>
    <xf numFmtId="0" fontId="23" fillId="3" borderId="0" xfId="0" applyFont="1" applyFill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0" fillId="0" borderId="6" xfId="0" applyBorder="1">
      <alignment vertical="center"/>
    </xf>
    <xf numFmtId="2" fontId="0" fillId="0" borderId="0" xfId="0" applyNumberFormat="1" applyFont="1" applyBorder="1" applyAlignment="1">
      <alignment horizontal="center" vertical="center"/>
    </xf>
    <xf numFmtId="2" fontId="31" fillId="0" borderId="0" xfId="0" applyNumberFormat="1" applyFont="1" applyBorder="1" applyAlignment="1">
      <alignment horizontal="center" vertical="center"/>
    </xf>
    <xf numFmtId="181" fontId="45" fillId="3" borderId="7" xfId="0" applyNumberFormat="1" applyFont="1" applyFill="1" applyBorder="1" applyAlignment="1">
      <alignment horizontal="center" vertical="center"/>
    </xf>
    <xf numFmtId="0" fontId="50" fillId="0" borderId="0" xfId="0" quotePrefix="1" applyFont="1" applyFill="1" applyBorder="1" applyAlignment="1">
      <alignment horizontal="center" vertical="center"/>
    </xf>
    <xf numFmtId="0" fontId="52" fillId="0" borderId="0" xfId="0" quotePrefix="1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22" fillId="0" borderId="0" xfId="0" applyFont="1" applyFill="1" applyBorder="1" applyAlignment="1">
      <alignment horizontal="right" vertical="center"/>
    </xf>
    <xf numFmtId="2" fontId="56" fillId="0" borderId="0" xfId="0" applyNumberFormat="1" applyFont="1" applyBorder="1" applyAlignment="1">
      <alignment horizontal="center" vertical="center"/>
    </xf>
    <xf numFmtId="1" fontId="23" fillId="3" borderId="7" xfId="0" applyNumberFormat="1" applyFont="1" applyFill="1" applyBorder="1" applyAlignment="1">
      <alignment horizontal="center" vertical="center"/>
    </xf>
    <xf numFmtId="11" fontId="42" fillId="0" borderId="0" xfId="11" applyNumberFormat="1" applyFont="1" applyFill="1" applyBorder="1" applyAlignment="1">
      <alignment vertical="center"/>
    </xf>
    <xf numFmtId="0" fontId="22" fillId="0" borderId="0" xfId="11" applyFont="1" applyFill="1" applyBorder="1" applyAlignment="1">
      <alignment horizontal="left" vertical="center"/>
    </xf>
    <xf numFmtId="0" fontId="20" fillId="0" borderId="0" xfId="11" applyFont="1" applyFill="1" applyBorder="1" applyAlignment="1">
      <alignment horizontal="left" vertical="center"/>
    </xf>
    <xf numFmtId="0" fontId="57" fillId="0" borderId="0" xfId="0" applyFont="1">
      <alignment vertical="center"/>
    </xf>
    <xf numFmtId="0" fontId="42" fillId="0" borderId="3" xfId="10" applyFont="1" applyFill="1" applyBorder="1" applyAlignment="1">
      <alignment horizontal="center" vertical="center"/>
    </xf>
    <xf numFmtId="0" fontId="42" fillId="0" borderId="4" xfId="10" applyFont="1" applyFill="1" applyBorder="1" applyAlignment="1">
      <alignment horizontal="center" vertical="center"/>
    </xf>
    <xf numFmtId="0" fontId="60" fillId="0" borderId="0" xfId="0" applyFont="1" applyAlignment="1">
      <alignment horizontal="right" vertical="center"/>
    </xf>
    <xf numFmtId="0" fontId="22" fillId="0" borderId="9" xfId="10" applyFont="1" applyFill="1" applyBorder="1">
      <alignment vertical="center"/>
    </xf>
    <xf numFmtId="176" fontId="42" fillId="0" borderId="3" xfId="12" applyNumberFormat="1" applyFont="1" applyFill="1" applyBorder="1">
      <alignment vertical="center"/>
    </xf>
    <xf numFmtId="176" fontId="42" fillId="0" borderId="4" xfId="12" applyNumberFormat="1" applyFont="1" applyFill="1" applyBorder="1">
      <alignment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177" fontId="42" fillId="0" borderId="4" xfId="12" applyNumberFormat="1" applyFont="1" applyFill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22" fillId="0" borderId="0" xfId="10" applyFont="1" applyFill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2" fillId="0" borderId="5" xfId="0" applyFont="1" applyBorder="1">
      <alignment vertical="center"/>
    </xf>
    <xf numFmtId="0" fontId="22" fillId="0" borderId="6" xfId="10" applyFont="1" applyFill="1" applyBorder="1">
      <alignment vertical="center"/>
    </xf>
    <xf numFmtId="0" fontId="22" fillId="0" borderId="5" xfId="10" applyFont="1" applyFill="1" applyBorder="1" applyAlignment="1">
      <alignment horizontal="center" vertical="center"/>
    </xf>
    <xf numFmtId="0" fontId="22" fillId="0" borderId="6" xfId="10" applyFont="1" applyFill="1" applyBorder="1" applyAlignment="1">
      <alignment horizontal="center" vertical="center"/>
    </xf>
    <xf numFmtId="0" fontId="22" fillId="0" borderId="9" xfId="0" applyFont="1" applyBorder="1" applyAlignment="1">
      <alignment horizontal="right" vertical="center"/>
    </xf>
    <xf numFmtId="186" fontId="44" fillId="0" borderId="3" xfId="0" applyNumberFormat="1" applyFont="1" applyBorder="1">
      <alignment vertical="center"/>
    </xf>
    <xf numFmtId="184" fontId="44" fillId="0" borderId="3" xfId="0" applyNumberFormat="1" applyFont="1" applyBorder="1">
      <alignment vertical="center"/>
    </xf>
    <xf numFmtId="184" fontId="44" fillId="0" borderId="4" xfId="0" applyNumberFormat="1" applyFont="1" applyBorder="1">
      <alignment vertical="center"/>
    </xf>
    <xf numFmtId="186" fontId="44" fillId="0" borderId="0" xfId="0" applyNumberFormat="1" applyFont="1" applyBorder="1">
      <alignment vertical="center"/>
    </xf>
    <xf numFmtId="184" fontId="44" fillId="0" borderId="0" xfId="0" applyNumberFormat="1" applyFont="1" applyBorder="1">
      <alignment vertical="center"/>
    </xf>
    <xf numFmtId="184" fontId="44" fillId="0" borderId="6" xfId="0" applyNumberFormat="1" applyFont="1" applyBorder="1">
      <alignment vertical="center"/>
    </xf>
    <xf numFmtId="186" fontId="42" fillId="0" borderId="3" xfId="0" applyNumberFormat="1" applyFont="1" applyBorder="1">
      <alignment vertical="center"/>
    </xf>
    <xf numFmtId="187" fontId="42" fillId="0" borderId="3" xfId="0" applyNumberFormat="1" applyFont="1" applyBorder="1">
      <alignment vertical="center"/>
    </xf>
    <xf numFmtId="184" fontId="42" fillId="0" borderId="3" xfId="0" applyNumberFormat="1" applyFont="1" applyBorder="1">
      <alignment vertical="center"/>
    </xf>
    <xf numFmtId="184" fontId="42" fillId="0" borderId="4" xfId="0" applyNumberFormat="1" applyFont="1" applyBorder="1">
      <alignment vertical="center"/>
    </xf>
    <xf numFmtId="186" fontId="42" fillId="0" borderId="0" xfId="0" applyNumberFormat="1" applyFont="1" applyBorder="1">
      <alignment vertical="center"/>
    </xf>
    <xf numFmtId="187" fontId="42" fillId="0" borderId="0" xfId="0" applyNumberFormat="1" applyFont="1" applyBorder="1">
      <alignment vertical="center"/>
    </xf>
    <xf numFmtId="184" fontId="42" fillId="0" borderId="0" xfId="0" applyNumberFormat="1" applyFont="1" applyBorder="1">
      <alignment vertical="center"/>
    </xf>
    <xf numFmtId="184" fontId="42" fillId="0" borderId="6" xfId="0" applyNumberFormat="1" applyFont="1" applyBorder="1">
      <alignment vertical="center"/>
    </xf>
    <xf numFmtId="0" fontId="22" fillId="0" borderId="3" xfId="0" applyFont="1" applyBorder="1">
      <alignment vertical="center"/>
    </xf>
    <xf numFmtId="0" fontId="22" fillId="0" borderId="4" xfId="0" applyFont="1" applyBorder="1">
      <alignment vertical="center"/>
    </xf>
    <xf numFmtId="176" fontId="42" fillId="0" borderId="0" xfId="0" applyNumberFormat="1" applyFont="1" applyBorder="1">
      <alignment vertical="center"/>
    </xf>
    <xf numFmtId="2" fontId="42" fillId="0" borderId="0" xfId="0" applyNumberFormat="1" applyFont="1" applyBorder="1">
      <alignment vertical="center"/>
    </xf>
    <xf numFmtId="2" fontId="42" fillId="0" borderId="6" xfId="0" applyNumberFormat="1" applyFont="1" applyBorder="1">
      <alignment vertical="center"/>
    </xf>
    <xf numFmtId="176" fontId="42" fillId="0" borderId="7" xfId="0" applyNumberFormat="1" applyFont="1" applyBorder="1">
      <alignment vertical="center"/>
    </xf>
    <xf numFmtId="187" fontId="42" fillId="0" borderId="7" xfId="0" applyNumberFormat="1" applyFont="1" applyBorder="1">
      <alignment vertical="center"/>
    </xf>
    <xf numFmtId="2" fontId="42" fillId="0" borderId="7" xfId="0" applyNumberFormat="1" applyFont="1" applyBorder="1">
      <alignment vertical="center"/>
    </xf>
    <xf numFmtId="2" fontId="42" fillId="0" borderId="8" xfId="0" applyNumberFormat="1" applyFont="1" applyBorder="1">
      <alignment vertical="center"/>
    </xf>
    <xf numFmtId="0" fontId="61" fillId="0" borderId="9" xfId="0" applyFont="1" applyBorder="1">
      <alignment vertical="center"/>
    </xf>
    <xf numFmtId="0" fontId="22" fillId="0" borderId="1" xfId="0" applyFont="1" applyBorder="1">
      <alignment vertical="center"/>
    </xf>
    <xf numFmtId="0" fontId="61" fillId="0" borderId="10" xfId="0" applyFont="1" applyBorder="1">
      <alignment vertical="center"/>
    </xf>
    <xf numFmtId="182" fontId="62" fillId="0" borderId="0" xfId="0" applyNumberFormat="1" applyFont="1">
      <alignment vertical="center"/>
    </xf>
    <xf numFmtId="0" fontId="58" fillId="0" borderId="0" xfId="0" applyFont="1">
      <alignment vertical="center"/>
    </xf>
    <xf numFmtId="0" fontId="60" fillId="0" borderId="0" xfId="0" applyFont="1">
      <alignment vertical="center"/>
    </xf>
    <xf numFmtId="0" fontId="42" fillId="0" borderId="9" xfId="0" applyFont="1" applyBorder="1">
      <alignment vertical="center"/>
    </xf>
    <xf numFmtId="0" fontId="22" fillId="0" borderId="2" xfId="0" applyFont="1" applyBorder="1">
      <alignment vertical="center"/>
    </xf>
    <xf numFmtId="0" fontId="22" fillId="0" borderId="9" xfId="0" applyFont="1" applyBorder="1">
      <alignment vertical="center"/>
    </xf>
    <xf numFmtId="180" fontId="42" fillId="0" borderId="8" xfId="0" applyNumberFormat="1" applyFont="1" applyBorder="1">
      <alignment vertical="center"/>
    </xf>
    <xf numFmtId="184" fontId="44" fillId="0" borderId="7" xfId="0" applyNumberFormat="1" applyFont="1" applyBorder="1">
      <alignment vertical="center"/>
    </xf>
    <xf numFmtId="184" fontId="44" fillId="0" borderId="8" xfId="0" applyNumberFormat="1" applyFont="1" applyBorder="1">
      <alignment vertical="center"/>
    </xf>
    <xf numFmtId="186" fontId="44" fillId="0" borderId="7" xfId="0" applyNumberFormat="1" applyFont="1" applyBorder="1">
      <alignment vertical="center"/>
    </xf>
    <xf numFmtId="189" fontId="22" fillId="0" borderId="1" xfId="0" applyNumberFormat="1" applyFont="1" applyBorder="1">
      <alignment vertical="center"/>
    </xf>
    <xf numFmtId="190" fontId="22" fillId="0" borderId="1" xfId="0" applyNumberFormat="1" applyFont="1" applyBorder="1">
      <alignment vertical="center"/>
    </xf>
    <xf numFmtId="187" fontId="22" fillId="0" borderId="0" xfId="0" applyNumberFormat="1" applyFont="1" applyBorder="1">
      <alignment vertical="center"/>
    </xf>
    <xf numFmtId="184" fontId="31" fillId="0" borderId="0" xfId="0" applyNumberFormat="1" applyFont="1" applyBorder="1">
      <alignment vertical="center"/>
    </xf>
    <xf numFmtId="184" fontId="31" fillId="0" borderId="6" xfId="0" applyNumberFormat="1" applyFont="1" applyBorder="1">
      <alignment vertical="center"/>
    </xf>
    <xf numFmtId="0" fontId="22" fillId="0" borderId="0" xfId="0" applyFont="1" applyAlignment="1">
      <alignment horizontal="center" vertical="center"/>
    </xf>
    <xf numFmtId="176" fontId="22" fillId="0" borderId="3" xfId="0" applyNumberFormat="1" applyFont="1" applyBorder="1">
      <alignment vertical="center"/>
    </xf>
    <xf numFmtId="187" fontId="22" fillId="0" borderId="3" xfId="0" applyNumberFormat="1" applyFont="1" applyBorder="1">
      <alignment vertical="center"/>
    </xf>
    <xf numFmtId="184" fontId="31" fillId="0" borderId="3" xfId="0" applyNumberFormat="1" applyFont="1" applyBorder="1">
      <alignment vertical="center"/>
    </xf>
    <xf numFmtId="184" fontId="31" fillId="0" borderId="4" xfId="0" applyNumberFormat="1" applyFont="1" applyBorder="1">
      <alignment vertical="center"/>
    </xf>
    <xf numFmtId="176" fontId="22" fillId="0" borderId="0" xfId="0" applyNumberFormat="1" applyFont="1" applyBorder="1">
      <alignment vertical="center"/>
    </xf>
    <xf numFmtId="176" fontId="22" fillId="0" borderId="13" xfId="0" applyNumberFormat="1" applyFont="1" applyBorder="1">
      <alignment vertical="center"/>
    </xf>
    <xf numFmtId="0" fontId="22" fillId="0" borderId="11" xfId="0" applyFont="1" applyBorder="1" applyAlignment="1">
      <alignment horizontal="right" vertical="center"/>
    </xf>
    <xf numFmtId="0" fontId="66" fillId="0" borderId="0" xfId="0" applyFont="1">
      <alignment vertical="center"/>
    </xf>
    <xf numFmtId="191" fontId="22" fillId="0" borderId="9" xfId="0" applyNumberFormat="1" applyFont="1" applyBorder="1">
      <alignment vertical="center"/>
    </xf>
    <xf numFmtId="192" fontId="22" fillId="0" borderId="10" xfId="0" applyNumberFormat="1" applyFont="1" applyBorder="1">
      <alignment vertical="center"/>
    </xf>
    <xf numFmtId="0" fontId="59" fillId="0" borderId="4" xfId="0" applyFont="1" applyBorder="1" applyAlignment="1">
      <alignment horizontal="right" vertical="center"/>
    </xf>
    <xf numFmtId="184" fontId="61" fillId="0" borderId="0" xfId="0" applyNumberFormat="1" applyFont="1" applyBorder="1">
      <alignment vertical="center"/>
    </xf>
    <xf numFmtId="0" fontId="22" fillId="0" borderId="0" xfId="0" quotePrefix="1" applyFont="1">
      <alignment vertical="center"/>
    </xf>
    <xf numFmtId="183" fontId="61" fillId="0" borderId="3" xfId="0" applyNumberFormat="1" applyFont="1" applyBorder="1">
      <alignment vertical="center"/>
    </xf>
    <xf numFmtId="183" fontId="42" fillId="0" borderId="3" xfId="0" applyNumberFormat="1" applyFont="1" applyBorder="1">
      <alignment vertical="center"/>
    </xf>
    <xf numFmtId="183" fontId="42" fillId="0" borderId="4" xfId="0" applyNumberFormat="1" applyFont="1" applyBorder="1">
      <alignment vertical="center"/>
    </xf>
    <xf numFmtId="183" fontId="61" fillId="0" borderId="0" xfId="0" applyNumberFormat="1" applyFont="1" applyBorder="1">
      <alignment vertical="center"/>
    </xf>
    <xf numFmtId="0" fontId="22" fillId="0" borderId="6" xfId="0" applyFont="1" applyBorder="1">
      <alignment vertical="center"/>
    </xf>
    <xf numFmtId="0" fontId="22" fillId="0" borderId="0" xfId="0" quotePrefix="1" applyFont="1" applyBorder="1" applyAlignment="1">
      <alignment horizontal="right" vertical="center"/>
    </xf>
    <xf numFmtId="0" fontId="0" fillId="0" borderId="7" xfId="0" applyBorder="1">
      <alignment vertical="center"/>
    </xf>
    <xf numFmtId="0" fontId="22" fillId="0" borderId="7" xfId="0" quotePrefix="1" applyFont="1" applyBorder="1" applyAlignment="1">
      <alignment horizontal="right" vertical="center"/>
    </xf>
    <xf numFmtId="184" fontId="61" fillId="0" borderId="8" xfId="0" applyNumberFormat="1" applyFont="1" applyBorder="1">
      <alignment vertical="center"/>
    </xf>
    <xf numFmtId="186" fontId="42" fillId="0" borderId="9" xfId="0" applyNumberFormat="1" applyFont="1" applyBorder="1">
      <alignment vertical="center"/>
    </xf>
    <xf numFmtId="186" fontId="42" fillId="0" borderId="1" xfId="0" applyNumberFormat="1" applyFont="1" applyBorder="1">
      <alignment vertical="center"/>
    </xf>
    <xf numFmtId="186" fontId="42" fillId="0" borderId="10" xfId="0" applyNumberFormat="1" applyFont="1" applyBorder="1">
      <alignment vertical="center"/>
    </xf>
    <xf numFmtId="11" fontId="42" fillId="0" borderId="9" xfId="11" applyNumberFormat="1" applyFont="1" applyFill="1" applyBorder="1" applyAlignment="1">
      <alignment vertical="center"/>
    </xf>
    <xf numFmtId="11" fontId="42" fillId="0" borderId="1" xfId="11" applyNumberFormat="1" applyFont="1" applyFill="1" applyBorder="1" applyAlignment="1">
      <alignment vertical="center"/>
    </xf>
    <xf numFmtId="11" fontId="42" fillId="0" borderId="10" xfId="11" applyNumberFormat="1" applyFont="1" applyFill="1" applyBorder="1" applyAlignment="1">
      <alignment vertical="center"/>
    </xf>
    <xf numFmtId="0" fontId="20" fillId="0" borderId="0" xfId="11" applyFont="1" applyFill="1" applyAlignment="1">
      <alignment horizontal="left" vertical="center"/>
    </xf>
    <xf numFmtId="0" fontId="68" fillId="0" borderId="0" xfId="0" applyFont="1" applyFill="1" applyBorder="1">
      <alignment vertical="center"/>
    </xf>
    <xf numFmtId="2" fontId="22" fillId="0" borderId="0" xfId="0" applyNumberFormat="1" applyFont="1" applyBorder="1">
      <alignment vertical="center"/>
    </xf>
    <xf numFmtId="0" fontId="25" fillId="0" borderId="0" xfId="0" applyFont="1" applyFill="1" applyAlignment="1">
      <alignment horizontal="center" vertical="center"/>
    </xf>
    <xf numFmtId="0" fontId="42" fillId="0" borderId="3" xfId="0" applyFont="1" applyBorder="1" applyAlignment="1">
      <alignment horizontal="right" vertical="center"/>
    </xf>
    <xf numFmtId="1" fontId="42" fillId="0" borderId="3" xfId="0" applyNumberFormat="1" applyFont="1" applyBorder="1" applyAlignment="1">
      <alignment horizontal="left" vertical="center"/>
    </xf>
    <xf numFmtId="0" fontId="22" fillId="0" borderId="14" xfId="0" applyFont="1" applyBorder="1" applyAlignment="1">
      <alignment horizontal="right" vertical="center"/>
    </xf>
    <xf numFmtId="0" fontId="23" fillId="3" borderId="8" xfId="0" applyFont="1" applyFill="1" applyBorder="1">
      <alignment vertical="center"/>
    </xf>
    <xf numFmtId="181" fontId="23" fillId="3" borderId="7" xfId="0" applyNumberFormat="1" applyFont="1" applyFill="1" applyBorder="1">
      <alignment vertical="center"/>
    </xf>
    <xf numFmtId="2" fontId="25" fillId="0" borderId="7" xfId="0" quotePrefix="1" applyNumberFormat="1" applyFont="1" applyBorder="1" applyAlignment="1">
      <alignment horizontal="center" vertical="center"/>
    </xf>
    <xf numFmtId="2" fontId="25" fillId="0" borderId="0" xfId="0" quotePrefix="1" applyNumberFormat="1" applyFont="1" applyBorder="1" applyAlignment="1">
      <alignment horizontal="center" vertical="center"/>
    </xf>
    <xf numFmtId="0" fontId="22" fillId="5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right" vertical="center"/>
    </xf>
    <xf numFmtId="1" fontId="42" fillId="0" borderId="0" xfId="0" applyNumberFormat="1" applyFont="1" applyBorder="1" applyAlignment="1">
      <alignment horizontal="left" vertical="center"/>
    </xf>
    <xf numFmtId="180" fontId="22" fillId="6" borderId="0" xfId="0" applyNumberFormat="1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2" fontId="25" fillId="4" borderId="0" xfId="0" applyNumberFormat="1" applyFont="1" applyFill="1" applyBorder="1" applyAlignment="1">
      <alignment horizontal="center" vertical="center"/>
    </xf>
    <xf numFmtId="0" fontId="49" fillId="0" borderId="0" xfId="0" quotePrefix="1" applyFont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2" fontId="42" fillId="0" borderId="3" xfId="0" applyNumberFormat="1" applyFont="1" applyBorder="1" applyAlignment="1">
      <alignment horizontal="center" vertical="center"/>
    </xf>
    <xf numFmtId="2" fontId="22" fillId="0" borderId="3" xfId="0" applyNumberFormat="1" applyFont="1" applyBorder="1">
      <alignment vertical="center"/>
    </xf>
    <xf numFmtId="2" fontId="22" fillId="0" borderId="4" xfId="0" applyNumberFormat="1" applyFont="1" applyBorder="1">
      <alignment vertical="center"/>
    </xf>
    <xf numFmtId="2" fontId="22" fillId="0" borderId="0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181" fontId="23" fillId="3" borderId="7" xfId="0" applyNumberFormat="1" applyFont="1" applyFill="1" applyBorder="1" applyAlignment="1">
      <alignment horizontal="center" vertical="center"/>
    </xf>
    <xf numFmtId="2" fontId="22" fillId="0" borderId="8" xfId="0" applyNumberFormat="1" applyFont="1" applyBorder="1">
      <alignment vertical="center"/>
    </xf>
    <xf numFmtId="176" fontId="22" fillId="0" borderId="10" xfId="0" applyNumberFormat="1" applyFont="1" applyBorder="1">
      <alignment vertical="center"/>
    </xf>
    <xf numFmtId="2" fontId="22" fillId="0" borderId="4" xfId="0" applyNumberFormat="1" applyFont="1" applyFill="1" applyBorder="1">
      <alignment vertical="center"/>
    </xf>
    <xf numFmtId="0" fontId="22" fillId="6" borderId="6" xfId="0" applyFont="1" applyFill="1" applyBorder="1" applyAlignment="1">
      <alignment horizontal="left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6" borderId="6" xfId="0" applyFont="1" applyFill="1" applyBorder="1" applyAlignment="1">
      <alignment horizontal="center" vertical="center"/>
    </xf>
    <xf numFmtId="2" fontId="22" fillId="5" borderId="0" xfId="0" applyNumberFormat="1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69" fillId="0" borderId="0" xfId="0" applyFont="1" applyBorder="1" applyAlignment="1">
      <alignment horizontal="center" vertical="center"/>
    </xf>
    <xf numFmtId="2" fontId="22" fillId="0" borderId="7" xfId="0" applyNumberFormat="1" applyFont="1" applyBorder="1">
      <alignment vertical="center"/>
    </xf>
    <xf numFmtId="2" fontId="25" fillId="0" borderId="0" xfId="0" quotePrefix="1" applyNumberFormat="1" applyFont="1" applyFill="1" applyBorder="1" applyAlignment="1">
      <alignment horizontal="center" vertical="center"/>
    </xf>
    <xf numFmtId="181" fontId="23" fillId="0" borderId="0" xfId="0" applyNumberFormat="1" applyFont="1" applyFill="1" applyBorder="1" applyAlignment="1">
      <alignment horizontal="center" vertical="center"/>
    </xf>
    <xf numFmtId="2" fontId="22" fillId="0" borderId="7" xfId="0" applyNumberFormat="1" applyFont="1" applyFill="1" applyBorder="1">
      <alignment vertical="center"/>
    </xf>
    <xf numFmtId="2" fontId="42" fillId="0" borderId="0" xfId="0" applyNumberFormat="1" applyFont="1" applyFill="1" applyBorder="1" applyAlignment="1">
      <alignment horizontal="center" vertical="center"/>
    </xf>
    <xf numFmtId="2" fontId="22" fillId="0" borderId="0" xfId="0" applyNumberFormat="1" applyFont="1" applyFill="1" applyBorder="1">
      <alignment vertical="center"/>
    </xf>
    <xf numFmtId="0" fontId="70" fillId="0" borderId="0" xfId="0" applyFont="1" applyFill="1" applyBorder="1">
      <alignment vertical="center"/>
    </xf>
    <xf numFmtId="0" fontId="49" fillId="0" borderId="0" xfId="0" quotePrefix="1" applyFont="1" applyFill="1" applyBorder="1" applyAlignment="1">
      <alignment horizontal="left" vertical="center"/>
    </xf>
    <xf numFmtId="0" fontId="41" fillId="0" borderId="0" xfId="10" applyFont="1" applyFill="1" applyAlignment="1">
      <alignment horizontal="left" vertical="center"/>
    </xf>
    <xf numFmtId="0" fontId="60" fillId="0" borderId="0" xfId="0" quotePrefix="1" applyFont="1" applyAlignment="1">
      <alignment horizontal="center" vertical="center"/>
    </xf>
    <xf numFmtId="0" fontId="71" fillId="0" borderId="0" xfId="0" applyFont="1" applyAlignment="1">
      <alignment horizontal="right" vertical="center"/>
    </xf>
    <xf numFmtId="181" fontId="72" fillId="0" borderId="0" xfId="0" applyNumberFormat="1" applyFont="1" applyAlignment="1">
      <alignment horizontal="center" vertical="center"/>
    </xf>
    <xf numFmtId="180" fontId="72" fillId="0" borderId="0" xfId="0" applyNumberFormat="1" applyFont="1" applyBorder="1" applyAlignment="1">
      <alignment horizontal="center" vertical="center"/>
    </xf>
    <xf numFmtId="180" fontId="63" fillId="0" borderId="0" xfId="0" applyNumberFormat="1" applyFont="1">
      <alignment vertical="center"/>
    </xf>
    <xf numFmtId="0" fontId="72" fillId="0" borderId="0" xfId="0" quotePrefix="1" applyFont="1" applyAlignment="1">
      <alignment horizontal="left" vertical="center"/>
    </xf>
    <xf numFmtId="0" fontId="22" fillId="0" borderId="0" xfId="0" applyFont="1" applyFill="1">
      <alignment vertical="center"/>
    </xf>
    <xf numFmtId="181" fontId="63" fillId="0" borderId="0" xfId="0" quotePrefix="1" applyNumberFormat="1" applyFont="1" applyFill="1" applyBorder="1" applyAlignment="1">
      <alignment horizontal="center" vertical="center"/>
    </xf>
    <xf numFmtId="178" fontId="49" fillId="0" borderId="0" xfId="0" applyNumberFormat="1" applyFont="1" applyFill="1" applyBorder="1">
      <alignment vertical="center"/>
    </xf>
    <xf numFmtId="0" fontId="60" fillId="0" borderId="0" xfId="0" quotePrefix="1" applyFont="1" applyAlignment="1">
      <alignment horizontal="right" vertical="center"/>
    </xf>
    <xf numFmtId="0" fontId="22" fillId="0" borderId="0" xfId="0" quotePrefix="1" applyFont="1" applyFill="1" applyBorder="1" applyAlignment="1">
      <alignment horizontal="center" vertical="center"/>
    </xf>
    <xf numFmtId="2" fontId="63" fillId="0" borderId="0" xfId="0" applyNumberFormat="1" applyFont="1">
      <alignment vertical="center"/>
    </xf>
    <xf numFmtId="0" fontId="22" fillId="7" borderId="6" xfId="0" applyFont="1" applyFill="1" applyBorder="1" applyAlignment="1">
      <alignment horizontal="center" vertical="center"/>
    </xf>
    <xf numFmtId="180" fontId="67" fillId="7" borderId="8" xfId="0" applyNumberFormat="1" applyFont="1" applyFill="1" applyBorder="1">
      <alignment vertical="center"/>
    </xf>
    <xf numFmtId="2" fontId="42" fillId="0" borderId="0" xfId="0" applyNumberFormat="1" applyFont="1" applyFill="1" applyBorder="1">
      <alignment vertical="center"/>
    </xf>
    <xf numFmtId="180" fontId="23" fillId="3" borderId="8" xfId="0" applyNumberFormat="1" applyFont="1" applyFill="1" applyBorder="1">
      <alignment vertical="center"/>
    </xf>
    <xf numFmtId="0" fontId="22" fillId="7" borderId="0" xfId="0" applyFont="1" applyFill="1" applyBorder="1" applyAlignment="1">
      <alignment horizontal="center" vertical="center"/>
    </xf>
    <xf numFmtId="193" fontId="22" fillId="0" borderId="0" xfId="0" applyNumberFormat="1" applyFont="1" applyBorder="1">
      <alignment vertical="center"/>
    </xf>
    <xf numFmtId="0" fontId="23" fillId="0" borderId="0" xfId="0" applyFont="1" applyFill="1" applyBorder="1">
      <alignment vertical="center"/>
    </xf>
    <xf numFmtId="181" fontId="23" fillId="0" borderId="0" xfId="0" applyNumberFormat="1" applyFont="1" applyFill="1" applyBorder="1">
      <alignment vertical="center"/>
    </xf>
    <xf numFmtId="193" fontId="22" fillId="0" borderId="0" xfId="0" applyNumberFormat="1" applyFont="1" applyFill="1" applyBorder="1">
      <alignment vertical="center"/>
    </xf>
    <xf numFmtId="0" fontId="22" fillId="0" borderId="0" xfId="0" applyFont="1" applyFill="1" applyAlignment="1">
      <alignment horizontal="right" vertical="center"/>
    </xf>
    <xf numFmtId="0" fontId="42" fillId="0" borderId="3" xfId="0" applyNumberFormat="1" applyFont="1" applyBorder="1" applyAlignment="1">
      <alignment horizontal="center" vertical="center"/>
    </xf>
    <xf numFmtId="184" fontId="42" fillId="0" borderId="0" xfId="0" applyNumberFormat="1" applyFont="1" applyFill="1" applyBorder="1" applyAlignment="1">
      <alignment horizontal="center" vertical="center"/>
    </xf>
    <xf numFmtId="0" fontId="60" fillId="0" borderId="0" xfId="0" quotePrefix="1" applyFont="1" applyAlignment="1">
      <alignment horizontal="left" vertical="center"/>
    </xf>
    <xf numFmtId="2" fontId="22" fillId="0" borderId="0" xfId="0" applyNumberFormat="1" applyFont="1" applyBorder="1" applyAlignment="1">
      <alignment horizontal="left" vertical="center"/>
    </xf>
    <xf numFmtId="0" fontId="42" fillId="0" borderId="5" xfId="0" applyFont="1" applyBorder="1">
      <alignment vertical="center"/>
    </xf>
    <xf numFmtId="181" fontId="42" fillId="0" borderId="6" xfId="0" applyNumberFormat="1" applyFont="1" applyBorder="1">
      <alignment vertical="center"/>
    </xf>
    <xf numFmtId="184" fontId="42" fillId="0" borderId="14" xfId="0" applyNumberFormat="1" applyFont="1" applyBorder="1">
      <alignment vertical="center"/>
    </xf>
    <xf numFmtId="0" fontId="60" fillId="0" borderId="8" xfId="0" quotePrefix="1" applyFont="1" applyBorder="1" applyAlignment="1">
      <alignment horizontal="left" vertical="center"/>
    </xf>
    <xf numFmtId="0" fontId="22" fillId="0" borderId="1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2" fontId="22" fillId="0" borderId="0" xfId="0" quotePrefix="1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178" fontId="42" fillId="0" borderId="0" xfId="0" applyNumberFormat="1" applyFont="1" applyFill="1" applyBorder="1">
      <alignment vertical="center"/>
    </xf>
    <xf numFmtId="180" fontId="67" fillId="7" borderId="7" xfId="0" applyNumberFormat="1" applyFont="1" applyFill="1" applyBorder="1">
      <alignment vertical="center"/>
    </xf>
    <xf numFmtId="180" fontId="23" fillId="3" borderId="7" xfId="0" applyNumberFormat="1" applyFont="1" applyFill="1" applyBorder="1">
      <alignment vertical="center"/>
    </xf>
    <xf numFmtId="0" fontId="60" fillId="0" borderId="0" xfId="10" applyFont="1" applyFill="1" applyAlignment="1">
      <alignment horizontal="left" vertical="center"/>
    </xf>
    <xf numFmtId="0" fontId="60" fillId="0" borderId="0" xfId="0" quotePrefix="1" applyFont="1">
      <alignment vertical="center"/>
    </xf>
    <xf numFmtId="11" fontId="22" fillId="0" borderId="0" xfId="0" applyNumberFormat="1" applyFont="1">
      <alignment vertical="center"/>
    </xf>
    <xf numFmtId="187" fontId="42" fillId="0" borderId="3" xfId="10" applyNumberFormat="1" applyFont="1" applyFill="1" applyBorder="1" applyAlignment="1">
      <alignment horizontal="left" vertical="center"/>
    </xf>
    <xf numFmtId="0" fontId="20" fillId="0" borderId="4" xfId="11" applyFont="1" applyFill="1" applyBorder="1" applyAlignment="1">
      <alignment vertical="center"/>
    </xf>
    <xf numFmtId="187" fontId="42" fillId="0" borderId="7" xfId="10" applyNumberFormat="1" applyFont="1" applyFill="1" applyBorder="1" applyAlignment="1">
      <alignment horizontal="left" vertical="center"/>
    </xf>
    <xf numFmtId="0" fontId="49" fillId="0" borderId="0" xfId="10" applyFont="1" applyFill="1" applyBorder="1">
      <alignment vertical="center"/>
    </xf>
    <xf numFmtId="0" fontId="25" fillId="0" borderId="1" xfId="0" applyFont="1" applyBorder="1" applyAlignment="1">
      <alignment horizontal="center" vertical="center"/>
    </xf>
    <xf numFmtId="0" fontId="22" fillId="0" borderId="0" xfId="10" quotePrefix="1" applyFont="1" applyFill="1" applyBorder="1" applyAlignment="1">
      <alignment horizontal="center" vertical="center"/>
    </xf>
    <xf numFmtId="0" fontId="22" fillId="0" borderId="7" xfId="10" quotePrefix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0" fillId="0" borderId="0" xfId="10" quotePrefix="1" applyFont="1" applyFill="1" applyBorder="1">
      <alignment vertical="center"/>
    </xf>
    <xf numFmtId="0" fontId="60" fillId="0" borderId="0" xfId="0" quotePrefix="1" applyFont="1" applyBorder="1">
      <alignment vertical="center"/>
    </xf>
    <xf numFmtId="194" fontId="25" fillId="0" borderId="7" xfId="10" applyNumberFormat="1" applyFont="1" applyFill="1" applyBorder="1" applyAlignment="1">
      <alignment horizontal="center" vertical="center"/>
    </xf>
    <xf numFmtId="0" fontId="42" fillId="0" borderId="0" xfId="11" applyFont="1" applyFill="1" applyAlignment="1">
      <alignment horizontal="left" vertical="center"/>
    </xf>
    <xf numFmtId="11" fontId="49" fillId="0" borderId="1" xfId="11" applyNumberFormat="1" applyFont="1" applyFill="1" applyBorder="1" applyAlignment="1">
      <alignment vertical="center"/>
    </xf>
    <xf numFmtId="0" fontId="49" fillId="0" borderId="0" xfId="11" applyFont="1" applyFill="1" applyAlignment="1">
      <alignment horizontal="left" vertical="center"/>
    </xf>
    <xf numFmtId="0" fontId="22" fillId="0" borderId="6" xfId="10" quotePrefix="1" applyFont="1" applyFill="1" applyBorder="1" applyAlignment="1">
      <alignment horizontal="center" vertical="center"/>
    </xf>
    <xf numFmtId="0" fontId="25" fillId="0" borderId="11" xfId="10" applyFont="1" applyFill="1" applyBorder="1" applyAlignment="1">
      <alignment horizontal="right" vertical="center"/>
    </xf>
    <xf numFmtId="0" fontId="22" fillId="0" borderId="15" xfId="0" applyFont="1" applyBorder="1" applyAlignment="1">
      <alignment horizontal="right" vertical="center"/>
    </xf>
    <xf numFmtId="0" fontId="22" fillId="0" borderId="15" xfId="0" quotePrefix="1" applyFont="1" applyBorder="1" applyAlignment="1">
      <alignment horizontal="left" vertical="center"/>
    </xf>
    <xf numFmtId="0" fontId="22" fillId="0" borderId="12" xfId="0" quotePrefix="1" applyFont="1" applyBorder="1" applyAlignment="1">
      <alignment horizontal="left" vertical="center"/>
    </xf>
    <xf numFmtId="176" fontId="61" fillId="0" borderId="0" xfId="89" applyNumberFormat="1" applyFont="1" applyFill="1" applyBorder="1">
      <alignment vertical="center"/>
    </xf>
    <xf numFmtId="176" fontId="61" fillId="0" borderId="7" xfId="89" applyNumberFormat="1" applyFont="1" applyFill="1" applyBorder="1">
      <alignment vertical="center"/>
    </xf>
    <xf numFmtId="0" fontId="49" fillId="0" borderId="0" xfId="0" applyFont="1">
      <alignment vertical="center"/>
    </xf>
    <xf numFmtId="0" fontId="22" fillId="0" borderId="3" xfId="0" applyFont="1" applyBorder="1" applyAlignment="1">
      <alignment horizontal="left" vertical="center"/>
    </xf>
    <xf numFmtId="0" fontId="22" fillId="0" borderId="3" xfId="11" applyFont="1" applyFill="1" applyBorder="1" applyAlignment="1">
      <alignment horizontal="left" vertical="center"/>
    </xf>
    <xf numFmtId="0" fontId="22" fillId="0" borderId="4" xfId="11" applyFont="1" applyFill="1" applyBorder="1" applyAlignment="1">
      <alignment horizontal="left" vertical="center"/>
    </xf>
    <xf numFmtId="0" fontId="22" fillId="0" borderId="0" xfId="0" quotePrefix="1" applyFont="1" applyBorder="1" applyAlignment="1">
      <alignment horizontal="center" vertical="center"/>
    </xf>
    <xf numFmtId="0" fontId="22" fillId="0" borderId="0" xfId="11" applyFont="1" applyFill="1" applyBorder="1" applyAlignment="1">
      <alignment horizontal="center" vertical="center"/>
    </xf>
    <xf numFmtId="0" fontId="22" fillId="0" borderId="6" xfId="11" applyFont="1" applyFill="1" applyBorder="1" applyAlignment="1">
      <alignment horizontal="center" vertical="center"/>
    </xf>
    <xf numFmtId="0" fontId="22" fillId="0" borderId="10" xfId="0" applyFont="1" applyBorder="1" applyAlignment="1">
      <alignment horizontal="right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2" fontId="49" fillId="0" borderId="0" xfId="0" applyNumberFormat="1" applyFont="1" applyBorder="1">
      <alignment vertical="center"/>
    </xf>
    <xf numFmtId="2" fontId="63" fillId="0" borderId="0" xfId="0" applyNumberFormat="1" applyFont="1" applyBorder="1">
      <alignment vertical="center"/>
    </xf>
    <xf numFmtId="2" fontId="63" fillId="0" borderId="7" xfId="0" applyNumberFormat="1" applyFont="1" applyBorder="1">
      <alignment vertical="center"/>
    </xf>
    <xf numFmtId="2" fontId="68" fillId="0" borderId="12" xfId="0" applyNumberFormat="1" applyFont="1" applyBorder="1">
      <alignment vertical="center"/>
    </xf>
    <xf numFmtId="2" fontId="68" fillId="0" borderId="13" xfId="0" applyNumberFormat="1" applyFont="1" applyBorder="1">
      <alignment vertical="center"/>
    </xf>
    <xf numFmtId="0" fontId="22" fillId="0" borderId="13" xfId="0" applyFont="1" applyBorder="1">
      <alignment vertical="center"/>
    </xf>
    <xf numFmtId="178" fontId="30" fillId="0" borderId="5" xfId="89" applyNumberFormat="1" applyFont="1" applyFill="1" applyBorder="1">
      <alignment vertical="center"/>
    </xf>
    <xf numFmtId="2" fontId="68" fillId="0" borderId="5" xfId="0" applyNumberFormat="1" applyFont="1" applyBorder="1">
      <alignment vertical="center"/>
    </xf>
    <xf numFmtId="2" fontId="68" fillId="0" borderId="0" xfId="0" applyNumberFormat="1" applyFont="1" applyBorder="1">
      <alignment vertical="center"/>
    </xf>
    <xf numFmtId="0" fontId="68" fillId="0" borderId="0" xfId="0" applyFont="1" applyBorder="1">
      <alignment vertical="center"/>
    </xf>
    <xf numFmtId="0" fontId="68" fillId="0" borderId="6" xfId="0" applyFont="1" applyBorder="1">
      <alignment vertical="center"/>
    </xf>
    <xf numFmtId="178" fontId="30" fillId="0" borderId="14" xfId="89" applyNumberFormat="1" applyFont="1" applyFill="1" applyBorder="1">
      <alignment vertical="center"/>
    </xf>
    <xf numFmtId="0" fontId="60" fillId="0" borderId="7" xfId="0" quotePrefix="1" applyFont="1" applyBorder="1">
      <alignment vertical="center"/>
    </xf>
    <xf numFmtId="0" fontId="22" fillId="0" borderId="8" xfId="0" applyFont="1" applyBorder="1" applyAlignment="1">
      <alignment horizontal="center" vertical="center"/>
    </xf>
    <xf numFmtId="2" fontId="68" fillId="0" borderId="14" xfId="0" applyNumberFormat="1" applyFont="1" applyBorder="1">
      <alignment vertical="center"/>
    </xf>
    <xf numFmtId="0" fontId="68" fillId="0" borderId="7" xfId="0" applyFont="1" applyBorder="1">
      <alignment vertical="center"/>
    </xf>
    <xf numFmtId="2" fontId="68" fillId="0" borderId="7" xfId="0" applyNumberFormat="1" applyFont="1" applyBorder="1">
      <alignment vertical="center"/>
    </xf>
    <xf numFmtId="0" fontId="68" fillId="0" borderId="8" xfId="0" applyFont="1" applyBorder="1">
      <alignment vertical="center"/>
    </xf>
    <xf numFmtId="0" fontId="22" fillId="0" borderId="12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184" fontId="30" fillId="0" borderId="1" xfId="10" applyNumberFormat="1" applyFont="1" applyFill="1" applyBorder="1">
      <alignment vertical="center"/>
    </xf>
    <xf numFmtId="177" fontId="60" fillId="0" borderId="0" xfId="0" quotePrefix="1" applyNumberFormat="1" applyFont="1">
      <alignment vertical="center"/>
    </xf>
    <xf numFmtId="184" fontId="30" fillId="0" borderId="10" xfId="10" applyNumberFormat="1" applyFont="1" applyFill="1" applyBorder="1">
      <alignment vertical="center"/>
    </xf>
    <xf numFmtId="2" fontId="49" fillId="0" borderId="7" xfId="0" applyNumberFormat="1" applyFont="1" applyBorder="1">
      <alignment vertical="center"/>
    </xf>
    <xf numFmtId="2" fontId="63" fillId="0" borderId="3" xfId="0" applyNumberFormat="1" applyFont="1" applyBorder="1">
      <alignment vertical="center"/>
    </xf>
    <xf numFmtId="2" fontId="49" fillId="0" borderId="3" xfId="0" quotePrefix="1" applyNumberFormat="1" applyFont="1" applyBorder="1" applyAlignment="1">
      <alignment horizontal="right" vertical="center"/>
    </xf>
    <xf numFmtId="179" fontId="63" fillId="0" borderId="3" xfId="0" applyNumberFormat="1" applyFont="1" applyBorder="1">
      <alignment vertical="center"/>
    </xf>
    <xf numFmtId="0" fontId="49" fillId="0" borderId="13" xfId="0" applyFont="1" applyBorder="1" applyAlignment="1">
      <alignment horizontal="center" vertical="center"/>
    </xf>
    <xf numFmtId="178" fontId="72" fillId="0" borderId="0" xfId="0" applyNumberFormat="1" applyFont="1" applyFill="1" applyBorder="1">
      <alignment vertical="center"/>
    </xf>
    <xf numFmtId="2" fontId="72" fillId="0" borderId="3" xfId="0" applyNumberFormat="1" applyFont="1" applyBorder="1">
      <alignment vertical="center"/>
    </xf>
    <xf numFmtId="2" fontId="72" fillId="0" borderId="0" xfId="0" applyNumberFormat="1" applyFont="1" applyBorder="1">
      <alignment vertical="center"/>
    </xf>
    <xf numFmtId="2" fontId="72" fillId="0" borderId="7" xfId="0" applyNumberFormat="1" applyFont="1" applyBorder="1">
      <alignment vertical="center"/>
    </xf>
    <xf numFmtId="2" fontId="72" fillId="0" borderId="4" xfId="0" applyNumberFormat="1" applyFont="1" applyBorder="1">
      <alignment vertical="center"/>
    </xf>
    <xf numFmtId="2" fontId="72" fillId="0" borderId="6" xfId="0" applyNumberFormat="1" applyFont="1" applyBorder="1">
      <alignment vertical="center"/>
    </xf>
    <xf numFmtId="2" fontId="72" fillId="0" borderId="8" xfId="0" applyNumberFormat="1" applyFont="1" applyBorder="1">
      <alignment vertical="center"/>
    </xf>
    <xf numFmtId="195" fontId="72" fillId="0" borderId="6" xfId="13" applyNumberFormat="1" applyFont="1" applyFill="1" applyBorder="1" applyAlignment="1">
      <alignment horizontal="center" vertical="center"/>
    </xf>
    <xf numFmtId="195" fontId="72" fillId="0" borderId="8" xfId="13" applyNumberFormat="1" applyFont="1" applyFill="1" applyBorder="1" applyAlignment="1">
      <alignment horizontal="center" vertical="center"/>
    </xf>
    <xf numFmtId="11" fontId="72" fillId="0" borderId="0" xfId="0" applyNumberFormat="1" applyFont="1">
      <alignment vertical="center"/>
    </xf>
    <xf numFmtId="188" fontId="65" fillId="8" borderId="1" xfId="0" applyNumberFormat="1" applyFont="1" applyFill="1" applyBorder="1">
      <alignment vertical="center"/>
    </xf>
    <xf numFmtId="186" fontId="44" fillId="8" borderId="0" xfId="0" applyNumberFormat="1" applyFont="1" applyFill="1" applyBorder="1">
      <alignment vertical="center"/>
    </xf>
    <xf numFmtId="187" fontId="42" fillId="8" borderId="0" xfId="0" applyNumberFormat="1" applyFont="1" applyFill="1" applyBorder="1">
      <alignment vertical="center"/>
    </xf>
    <xf numFmtId="184" fontId="44" fillId="8" borderId="0" xfId="0" applyNumberFormat="1" applyFont="1" applyFill="1" applyBorder="1">
      <alignment vertical="center"/>
    </xf>
    <xf numFmtId="184" fontId="44" fillId="8" borderId="6" xfId="0" applyNumberFormat="1" applyFont="1" applyFill="1" applyBorder="1">
      <alignment vertical="center"/>
    </xf>
    <xf numFmtId="0" fontId="49" fillId="8" borderId="10" xfId="0" applyFont="1" applyFill="1" applyBorder="1" applyAlignment="1">
      <alignment horizontal="center" vertical="center"/>
    </xf>
    <xf numFmtId="176" fontId="22" fillId="8" borderId="7" xfId="0" applyNumberFormat="1" applyFont="1" applyFill="1" applyBorder="1">
      <alignment vertical="center"/>
    </xf>
    <xf numFmtId="187" fontId="49" fillId="8" borderId="7" xfId="0" applyNumberFormat="1" applyFont="1" applyFill="1" applyBorder="1">
      <alignment vertical="center"/>
    </xf>
    <xf numFmtId="184" fontId="54" fillId="8" borderId="7" xfId="0" applyNumberFormat="1" applyFont="1" applyFill="1" applyBorder="1">
      <alignment vertical="center"/>
    </xf>
    <xf numFmtId="184" fontId="54" fillId="8" borderId="8" xfId="0" applyNumberFormat="1" applyFont="1" applyFill="1" applyBorder="1">
      <alignment vertical="center"/>
    </xf>
    <xf numFmtId="178" fontId="65" fillId="8" borderId="15" xfId="0" applyNumberFormat="1" applyFont="1" applyFill="1" applyBorder="1">
      <alignment vertical="center"/>
    </xf>
    <xf numFmtId="187" fontId="42" fillId="8" borderId="12" xfId="0" applyNumberFormat="1" applyFont="1" applyFill="1" applyBorder="1">
      <alignment vertical="center"/>
    </xf>
    <xf numFmtId="184" fontId="44" fillId="8" borderId="12" xfId="0" applyNumberFormat="1" applyFont="1" applyFill="1" applyBorder="1">
      <alignment vertical="center"/>
    </xf>
    <xf numFmtId="184" fontId="44" fillId="8" borderId="13" xfId="0" applyNumberFormat="1" applyFont="1" applyFill="1" applyBorder="1">
      <alignment vertical="center"/>
    </xf>
    <xf numFmtId="0" fontId="75" fillId="4" borderId="0" xfId="0" applyFont="1" applyFill="1" applyAlignment="1">
      <alignment horizontal="right" vertical="center"/>
    </xf>
    <xf numFmtId="0" fontId="22" fillId="7" borderId="0" xfId="0" applyFont="1" applyFill="1">
      <alignment vertical="center"/>
    </xf>
    <xf numFmtId="0" fontId="22" fillId="7" borderId="0" xfId="0" applyFont="1" applyFill="1" applyAlignment="1">
      <alignment horizontal="right" vertical="center"/>
    </xf>
    <xf numFmtId="180" fontId="72" fillId="9" borderId="0" xfId="0" applyNumberFormat="1" applyFont="1" applyFill="1" applyBorder="1" applyAlignment="1">
      <alignment horizontal="center" vertical="center"/>
    </xf>
    <xf numFmtId="178" fontId="23" fillId="3" borderId="4" xfId="0" applyNumberFormat="1" applyFont="1" applyFill="1" applyBorder="1">
      <alignment vertical="center"/>
    </xf>
    <xf numFmtId="0" fontId="22" fillId="3" borderId="13" xfId="10" applyFont="1" applyFill="1" applyBorder="1">
      <alignment vertical="center"/>
    </xf>
    <xf numFmtId="0" fontId="23" fillId="3" borderId="13" xfId="10" applyFont="1" applyFill="1" applyBorder="1" applyAlignment="1">
      <alignment horizontal="center" vertical="center"/>
    </xf>
    <xf numFmtId="184" fontId="23" fillId="3" borderId="13" xfId="10" applyNumberFormat="1" applyFont="1" applyFill="1" applyBorder="1" applyAlignment="1">
      <alignment horizontal="right" vertical="center"/>
    </xf>
    <xf numFmtId="0" fontId="22" fillId="2" borderId="0" xfId="0" applyFont="1" applyFill="1">
      <alignment vertical="center"/>
    </xf>
    <xf numFmtId="176" fontId="42" fillId="0" borderId="3" xfId="0" applyNumberFormat="1" applyFont="1" applyBorder="1">
      <alignment vertical="center"/>
    </xf>
    <xf numFmtId="0" fontId="22" fillId="0" borderId="14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176" fontId="22" fillId="0" borderId="9" xfId="0" applyNumberFormat="1" applyFont="1" applyBorder="1">
      <alignment vertical="center"/>
    </xf>
    <xf numFmtId="0" fontId="22" fillId="0" borderId="7" xfId="0" applyFont="1" applyFill="1" applyBorder="1">
      <alignment vertical="center"/>
    </xf>
    <xf numFmtId="187" fontId="42" fillId="0" borderId="0" xfId="0" applyNumberFormat="1" applyFont="1" applyFill="1" applyBorder="1">
      <alignment vertical="center"/>
    </xf>
    <xf numFmtId="0" fontId="49" fillId="9" borderId="10" xfId="0" applyFont="1" applyFill="1" applyBorder="1" applyAlignment="1">
      <alignment horizontal="center" vertical="center"/>
    </xf>
    <xf numFmtId="178" fontId="22" fillId="0" borderId="0" xfId="0" applyNumberFormat="1" applyFont="1" applyBorder="1">
      <alignment vertical="center"/>
    </xf>
    <xf numFmtId="0" fontId="42" fillId="9" borderId="11" xfId="0" applyFont="1" applyFill="1" applyBorder="1">
      <alignment vertical="center"/>
    </xf>
    <xf numFmtId="0" fontId="49" fillId="0" borderId="0" xfId="0" quotePrefix="1" applyFont="1" applyFill="1" applyBorder="1">
      <alignment vertical="center"/>
    </xf>
    <xf numFmtId="196" fontId="22" fillId="0" borderId="0" xfId="0" applyNumberFormat="1" applyFont="1" applyFill="1" applyBorder="1">
      <alignment vertical="center"/>
    </xf>
    <xf numFmtId="0" fontId="22" fillId="10" borderId="0" xfId="0" applyFont="1" applyFill="1">
      <alignment vertical="center"/>
    </xf>
    <xf numFmtId="176" fontId="22" fillId="0" borderId="7" xfId="0" applyNumberFormat="1" applyFont="1" applyBorder="1">
      <alignment vertical="center"/>
    </xf>
    <xf numFmtId="181" fontId="22" fillId="0" borderId="6" xfId="0" applyNumberFormat="1" applyFont="1" applyBorder="1">
      <alignment vertical="center"/>
    </xf>
    <xf numFmtId="0" fontId="22" fillId="0" borderId="8" xfId="0" applyFont="1" applyBorder="1">
      <alignment vertical="center"/>
    </xf>
    <xf numFmtId="2" fontId="55" fillId="0" borderId="0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2" fontId="78" fillId="0" borderId="4" xfId="0" applyNumberFormat="1" applyFont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79" fillId="0" borderId="0" xfId="0" applyFont="1">
      <alignment vertical="center"/>
    </xf>
    <xf numFmtId="181" fontId="42" fillId="0" borderId="0" xfId="0" applyNumberFormat="1" applyFont="1" applyBorder="1">
      <alignment vertical="center"/>
    </xf>
    <xf numFmtId="0" fontId="42" fillId="0" borderId="2" xfId="0" applyFont="1" applyBorder="1" applyAlignment="1">
      <alignment horizontal="right" vertical="center"/>
    </xf>
    <xf numFmtId="0" fontId="22" fillId="0" borderId="5" xfId="0" applyFont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181" fontId="42" fillId="0" borderId="7" xfId="0" applyNumberFormat="1" applyFont="1" applyBorder="1">
      <alignment vertical="center"/>
    </xf>
    <xf numFmtId="0" fontId="22" fillId="0" borderId="7" xfId="0" applyFont="1" applyBorder="1" applyAlignment="1">
      <alignment horizontal="right" vertical="center"/>
    </xf>
    <xf numFmtId="2" fontId="22" fillId="0" borderId="7" xfId="0" applyNumberFormat="1" applyFont="1" applyBorder="1" applyAlignment="1">
      <alignment horizontal="left" vertical="center"/>
    </xf>
    <xf numFmtId="180" fontId="22" fillId="0" borderId="7" xfId="0" applyNumberFormat="1" applyFont="1" applyBorder="1" applyAlignment="1">
      <alignment horizontal="center" vertical="center"/>
    </xf>
    <xf numFmtId="2" fontId="25" fillId="0" borderId="7" xfId="0" quotePrefix="1" applyNumberFormat="1" applyFont="1" applyFill="1" applyBorder="1" applyAlignment="1">
      <alignment horizontal="center" vertical="center"/>
    </xf>
    <xf numFmtId="180" fontId="42" fillId="0" borderId="7" xfId="0" applyNumberFormat="1" applyFont="1" applyFill="1" applyBorder="1">
      <alignment vertical="center"/>
    </xf>
    <xf numFmtId="181" fontId="42" fillId="0" borderId="7" xfId="0" applyNumberFormat="1" applyFont="1" applyBorder="1" applyAlignment="1">
      <alignment horizontal="center" vertical="center"/>
    </xf>
    <xf numFmtId="0" fontId="22" fillId="0" borderId="16" xfId="0" applyFont="1" applyFill="1" applyBorder="1" applyAlignment="1">
      <alignment horizontal="right" vertical="center"/>
    </xf>
    <xf numFmtId="0" fontId="22" fillId="0" borderId="17" xfId="0" applyFont="1" applyBorder="1" applyAlignment="1">
      <alignment horizontal="right" vertical="center"/>
    </xf>
    <xf numFmtId="0" fontId="22" fillId="0" borderId="17" xfId="0" quotePrefix="1" applyFont="1" applyBorder="1">
      <alignment vertical="center"/>
    </xf>
    <xf numFmtId="181" fontId="22" fillId="0" borderId="17" xfId="0" applyNumberFormat="1" applyFont="1" applyBorder="1" applyAlignment="1">
      <alignment horizontal="center" vertical="center"/>
    </xf>
    <xf numFmtId="2" fontId="25" fillId="0" borderId="17" xfId="0" quotePrefix="1" applyNumberFormat="1" applyFont="1" applyFill="1" applyBorder="1" applyAlignment="1">
      <alignment horizontal="center" vertical="center"/>
    </xf>
    <xf numFmtId="180" fontId="22" fillId="0" borderId="17" xfId="0" applyNumberFormat="1" applyFont="1" applyFill="1" applyBorder="1">
      <alignment vertical="center"/>
    </xf>
    <xf numFmtId="2" fontId="22" fillId="0" borderId="17" xfId="0" applyNumberFormat="1" applyFont="1" applyFill="1" applyBorder="1">
      <alignment vertical="center"/>
    </xf>
    <xf numFmtId="0" fontId="22" fillId="0" borderId="19" xfId="0" applyFont="1" applyFill="1" applyBorder="1" applyAlignment="1">
      <alignment horizontal="right" vertical="center"/>
    </xf>
    <xf numFmtId="2" fontId="22" fillId="0" borderId="20" xfId="0" applyNumberFormat="1" applyFont="1" applyBorder="1" applyAlignment="1">
      <alignment horizontal="center" vertical="center"/>
    </xf>
    <xf numFmtId="0" fontId="22" fillId="0" borderId="21" xfId="0" applyFont="1" applyBorder="1">
      <alignment vertical="center"/>
    </xf>
    <xf numFmtId="0" fontId="22" fillId="0" borderId="22" xfId="0" applyFont="1" applyBorder="1">
      <alignment vertical="center"/>
    </xf>
    <xf numFmtId="0" fontId="22" fillId="0" borderId="23" xfId="0" applyFont="1" applyBorder="1">
      <alignment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Border="1" applyAlignment="1">
      <alignment horizontal="right" vertical="center"/>
    </xf>
    <xf numFmtId="0" fontId="23" fillId="3" borderId="26" xfId="0" applyFont="1" applyFill="1" applyBorder="1">
      <alignment vertical="center"/>
    </xf>
    <xf numFmtId="181" fontId="63" fillId="0" borderId="27" xfId="0" applyNumberFormat="1" applyFont="1" applyBorder="1">
      <alignment vertical="center"/>
    </xf>
    <xf numFmtId="2" fontId="25" fillId="0" borderId="28" xfId="0" quotePrefix="1" applyNumberFormat="1" applyFont="1" applyBorder="1" applyAlignment="1">
      <alignment horizontal="center" vertical="center"/>
    </xf>
    <xf numFmtId="2" fontId="67" fillId="4" borderId="28" xfId="0" applyNumberFormat="1" applyFont="1" applyFill="1" applyBorder="1" applyAlignment="1">
      <alignment horizontal="center" vertical="center"/>
    </xf>
    <xf numFmtId="180" fontId="72" fillId="0" borderId="26" xfId="0" applyNumberFormat="1" applyFont="1" applyBorder="1">
      <alignment vertical="center"/>
    </xf>
    <xf numFmtId="2" fontId="22" fillId="0" borderId="26" xfId="0" applyNumberFormat="1" applyFont="1" applyFill="1" applyBorder="1">
      <alignment vertical="center"/>
    </xf>
    <xf numFmtId="176" fontId="22" fillId="0" borderId="29" xfId="0" applyNumberFormat="1" applyFont="1" applyBorder="1">
      <alignment vertical="center"/>
    </xf>
    <xf numFmtId="176" fontId="22" fillId="0" borderId="30" xfId="0" applyNumberFormat="1" applyFont="1" applyBorder="1">
      <alignment vertical="center"/>
    </xf>
    <xf numFmtId="0" fontId="22" fillId="0" borderId="16" xfId="0" applyFont="1" applyBorder="1">
      <alignment vertical="center"/>
    </xf>
    <xf numFmtId="0" fontId="22" fillId="0" borderId="17" xfId="0" applyFont="1" applyBorder="1">
      <alignment vertical="center"/>
    </xf>
    <xf numFmtId="2" fontId="22" fillId="0" borderId="17" xfId="0" applyNumberFormat="1" applyFont="1" applyBorder="1" applyAlignment="1">
      <alignment horizontal="left" vertical="center"/>
    </xf>
    <xf numFmtId="2" fontId="22" fillId="0" borderId="17" xfId="0" applyNumberFormat="1" applyFont="1" applyBorder="1">
      <alignment vertical="center"/>
    </xf>
    <xf numFmtId="0" fontId="22" fillId="0" borderId="19" xfId="0" applyFont="1" applyBorder="1">
      <alignment vertical="center"/>
    </xf>
    <xf numFmtId="0" fontId="22" fillId="0" borderId="24" xfId="0" applyFont="1" applyBorder="1" applyAlignment="1">
      <alignment horizontal="center" vertical="center"/>
    </xf>
    <xf numFmtId="181" fontId="23" fillId="3" borderId="27" xfId="0" applyNumberFormat="1" applyFont="1" applyFill="1" applyBorder="1">
      <alignment vertical="center"/>
    </xf>
    <xf numFmtId="181" fontId="23" fillId="3" borderId="28" xfId="0" applyNumberFormat="1" applyFont="1" applyFill="1" applyBorder="1" applyAlignment="1">
      <alignment horizontal="center" vertical="center"/>
    </xf>
    <xf numFmtId="180" fontId="42" fillId="0" borderId="26" xfId="0" applyNumberFormat="1" applyFont="1" applyBorder="1">
      <alignment vertical="center"/>
    </xf>
    <xf numFmtId="2" fontId="22" fillId="0" borderId="26" xfId="0" applyNumberFormat="1" applyFont="1" applyBorder="1">
      <alignment vertical="center"/>
    </xf>
    <xf numFmtId="196" fontId="22" fillId="0" borderId="29" xfId="0" applyNumberFormat="1" applyFont="1" applyBorder="1">
      <alignment vertical="center"/>
    </xf>
    <xf numFmtId="0" fontId="22" fillId="0" borderId="17" xfId="0" applyFont="1" applyBorder="1" applyAlignment="1">
      <alignment horizontal="center" vertical="center"/>
    </xf>
    <xf numFmtId="0" fontId="22" fillId="0" borderId="19" xfId="0" applyFont="1" applyBorder="1" applyAlignment="1">
      <alignment horizontal="right" vertical="center"/>
    </xf>
    <xf numFmtId="176" fontId="22" fillId="0" borderId="31" xfId="0" applyNumberFormat="1" applyFont="1" applyBorder="1">
      <alignment vertical="center"/>
    </xf>
    <xf numFmtId="181" fontId="63" fillId="0" borderId="28" xfId="0" applyNumberFormat="1" applyFont="1" applyBorder="1">
      <alignment vertical="center"/>
    </xf>
    <xf numFmtId="2" fontId="72" fillId="0" borderId="26" xfId="0" applyNumberFormat="1" applyFont="1" applyFill="1" applyBorder="1">
      <alignment vertical="center"/>
    </xf>
    <xf numFmtId="2" fontId="42" fillId="0" borderId="7" xfId="0" applyNumberFormat="1" applyFont="1" applyBorder="1" applyAlignment="1">
      <alignment horizontal="center" vertical="center"/>
    </xf>
    <xf numFmtId="181" fontId="53" fillId="0" borderId="28" xfId="0" applyNumberFormat="1" applyFont="1" applyFill="1" applyBorder="1" applyAlignment="1">
      <alignment horizontal="center" vertical="center"/>
    </xf>
    <xf numFmtId="176" fontId="72" fillId="0" borderId="29" xfId="0" applyNumberFormat="1" applyFont="1" applyBorder="1">
      <alignment vertical="center"/>
    </xf>
    <xf numFmtId="2" fontId="78" fillId="0" borderId="32" xfId="0" applyNumberFormat="1" applyFont="1" applyBorder="1" applyAlignment="1">
      <alignment horizontal="center" vertical="center"/>
    </xf>
    <xf numFmtId="0" fontId="22" fillId="6" borderId="24" xfId="0" applyFont="1" applyFill="1" applyBorder="1" applyAlignment="1">
      <alignment horizontal="center" vertical="center"/>
    </xf>
    <xf numFmtId="176" fontId="72" fillId="0" borderId="30" xfId="0" applyNumberFormat="1" applyFont="1" applyBorder="1">
      <alignment vertical="center"/>
    </xf>
    <xf numFmtId="180" fontId="62" fillId="0" borderId="7" xfId="0" applyNumberFormat="1" applyFont="1" applyBorder="1" applyAlignment="1">
      <alignment horizontal="center" vertical="center"/>
    </xf>
    <xf numFmtId="2" fontId="62" fillId="0" borderId="20" xfId="0" applyNumberFormat="1" applyFont="1" applyBorder="1" applyAlignment="1">
      <alignment horizontal="center" vertical="center"/>
    </xf>
    <xf numFmtId="181" fontId="62" fillId="0" borderId="7" xfId="0" applyNumberFormat="1" applyFont="1" applyBorder="1" applyAlignment="1">
      <alignment horizontal="center" vertical="center"/>
    </xf>
    <xf numFmtId="0" fontId="22" fillId="0" borderId="33" xfId="0" applyFont="1" applyBorder="1">
      <alignment vertical="center"/>
    </xf>
    <xf numFmtId="0" fontId="42" fillId="0" borderId="17" xfId="0" applyFont="1" applyBorder="1" applyAlignment="1">
      <alignment horizontal="right" vertical="center"/>
    </xf>
    <xf numFmtId="1" fontId="42" fillId="0" borderId="17" xfId="0" applyNumberFormat="1" applyFont="1" applyBorder="1" applyAlignment="1">
      <alignment horizontal="left" vertical="center"/>
    </xf>
    <xf numFmtId="2" fontId="42" fillId="0" borderId="18" xfId="0" applyNumberFormat="1" applyFont="1" applyBorder="1" applyAlignment="1">
      <alignment horizontal="center" vertical="center"/>
    </xf>
    <xf numFmtId="2" fontId="22" fillId="0" borderId="34" xfId="0" applyNumberFormat="1" applyFont="1" applyBorder="1" applyAlignment="1">
      <alignment horizontal="center" vertical="center"/>
    </xf>
    <xf numFmtId="181" fontId="42" fillId="0" borderId="20" xfId="0" applyNumberFormat="1" applyFont="1" applyFill="1" applyBorder="1" applyAlignment="1">
      <alignment horizontal="center" vertical="center"/>
    </xf>
    <xf numFmtId="2" fontId="42" fillId="0" borderId="34" xfId="0" applyNumberFormat="1" applyFont="1" applyBorder="1" applyAlignment="1">
      <alignment horizontal="center" vertical="center"/>
    </xf>
    <xf numFmtId="2" fontId="22" fillId="6" borderId="34" xfId="0" applyNumberFormat="1" applyFont="1" applyFill="1" applyBorder="1" applyAlignment="1">
      <alignment horizontal="center" vertical="center"/>
    </xf>
    <xf numFmtId="181" fontId="53" fillId="0" borderId="35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right" vertical="center"/>
    </xf>
    <xf numFmtId="0" fontId="23" fillId="0" borderId="3" xfId="0" applyFont="1" applyFill="1" applyBorder="1">
      <alignment vertical="center"/>
    </xf>
    <xf numFmtId="181" fontId="23" fillId="0" borderId="3" xfId="0" applyNumberFormat="1" applyFont="1" applyFill="1" applyBorder="1">
      <alignment vertical="center"/>
    </xf>
    <xf numFmtId="2" fontId="25" fillId="0" borderId="3" xfId="0" quotePrefix="1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2" fontId="22" fillId="0" borderId="3" xfId="0" quotePrefix="1" applyNumberFormat="1" applyFont="1" applyFill="1" applyBorder="1" applyAlignment="1">
      <alignment horizontal="left" vertical="center"/>
    </xf>
    <xf numFmtId="0" fontId="60" fillId="0" borderId="4" xfId="0" quotePrefix="1" applyFont="1" applyBorder="1" applyAlignment="1">
      <alignment horizontal="center" vertical="center"/>
    </xf>
    <xf numFmtId="0" fontId="22" fillId="0" borderId="5" xfId="0" applyFont="1" applyFill="1" applyBorder="1" applyAlignment="1">
      <alignment horizontal="right" vertical="center"/>
    </xf>
    <xf numFmtId="0" fontId="60" fillId="0" borderId="0" xfId="0" quotePrefix="1" applyFont="1" applyBorder="1" applyAlignment="1">
      <alignment horizontal="right" vertical="center"/>
    </xf>
    <xf numFmtId="0" fontId="60" fillId="0" borderId="6" xfId="0" quotePrefix="1" applyFont="1" applyBorder="1" applyAlignment="1">
      <alignment horizontal="center" vertical="center"/>
    </xf>
    <xf numFmtId="2" fontId="22" fillId="0" borderId="6" xfId="0" applyNumberFormat="1" applyFont="1" applyBorder="1" applyAlignment="1">
      <alignment horizontal="center" vertical="center"/>
    </xf>
    <xf numFmtId="0" fontId="22" fillId="0" borderId="5" xfId="0" applyFont="1" applyFill="1" applyBorder="1">
      <alignment vertical="center"/>
    </xf>
    <xf numFmtId="2" fontId="42" fillId="0" borderId="6" xfId="0" applyNumberFormat="1" applyFont="1" applyFill="1" applyBorder="1">
      <alignment vertical="center"/>
    </xf>
    <xf numFmtId="0" fontId="22" fillId="0" borderId="14" xfId="0" applyFont="1" applyFill="1" applyBorder="1">
      <alignment vertical="center"/>
    </xf>
    <xf numFmtId="178" fontId="72" fillId="0" borderId="7" xfId="0" applyNumberFormat="1" applyFont="1" applyFill="1" applyBorder="1" applyAlignment="1">
      <alignment horizontal="right" vertical="center"/>
    </xf>
    <xf numFmtId="0" fontId="22" fillId="0" borderId="7" xfId="0" quotePrefix="1" applyFont="1" applyFill="1" applyBorder="1">
      <alignment vertical="center"/>
    </xf>
    <xf numFmtId="181" fontId="63" fillId="0" borderId="7" xfId="0" quotePrefix="1" applyNumberFormat="1" applyFont="1" applyFill="1" applyBorder="1" applyAlignment="1">
      <alignment horizontal="center" vertical="center"/>
    </xf>
    <xf numFmtId="0" fontId="22" fillId="0" borderId="7" xfId="0" quotePrefix="1" applyFont="1" applyFill="1" applyBorder="1" applyAlignment="1">
      <alignment horizontal="center" vertical="center"/>
    </xf>
    <xf numFmtId="2" fontId="63" fillId="0" borderId="8" xfId="0" applyNumberFormat="1" applyFont="1" applyBorder="1">
      <alignment vertical="center"/>
    </xf>
    <xf numFmtId="0" fontId="60" fillId="0" borderId="3" xfId="0" quotePrefix="1" applyFont="1" applyBorder="1" applyAlignment="1">
      <alignment horizontal="center" vertical="center"/>
    </xf>
    <xf numFmtId="180" fontId="23" fillId="0" borderId="4" xfId="0" applyNumberFormat="1" applyFont="1" applyFill="1" applyBorder="1">
      <alignment vertical="center"/>
    </xf>
    <xf numFmtId="0" fontId="60" fillId="0" borderId="0" xfId="0" quotePrefix="1" applyFont="1" applyBorder="1" applyAlignment="1">
      <alignment horizontal="center" vertical="center"/>
    </xf>
    <xf numFmtId="180" fontId="23" fillId="0" borderId="6" xfId="0" applyNumberFormat="1" applyFont="1" applyFill="1" applyBorder="1">
      <alignment vertical="center"/>
    </xf>
    <xf numFmtId="178" fontId="72" fillId="0" borderId="7" xfId="0" applyNumberFormat="1" applyFont="1" applyFill="1" applyBorder="1">
      <alignment vertical="center"/>
    </xf>
    <xf numFmtId="181" fontId="23" fillId="0" borderId="3" xfId="0" applyNumberFormat="1" applyFont="1" applyFill="1" applyBorder="1" applyAlignment="1">
      <alignment horizontal="center" vertical="center"/>
    </xf>
    <xf numFmtId="0" fontId="60" fillId="0" borderId="0" xfId="0" quotePrefix="1" applyFont="1" applyBorder="1" applyAlignment="1">
      <alignment horizontal="left" vertical="center"/>
    </xf>
    <xf numFmtId="2" fontId="42" fillId="0" borderId="0" xfId="0" applyNumberFormat="1" applyFont="1" applyBorder="1" applyAlignment="1">
      <alignment horizontal="center" vertical="center"/>
    </xf>
    <xf numFmtId="0" fontId="22" fillId="0" borderId="0" xfId="0" quotePrefix="1" applyFont="1" applyBorder="1">
      <alignment vertical="center"/>
    </xf>
    <xf numFmtId="0" fontId="22" fillId="0" borderId="0" xfId="0" applyFont="1" applyBorder="1" applyAlignment="1">
      <alignment horizontal="right" vertical="center"/>
    </xf>
    <xf numFmtId="181" fontId="22" fillId="0" borderId="0" xfId="0" applyNumberFormat="1" applyFont="1" applyBorder="1" applyAlignment="1">
      <alignment horizontal="center" vertical="center"/>
    </xf>
    <xf numFmtId="181" fontId="42" fillId="0" borderId="0" xfId="0" applyNumberFormat="1" applyFont="1" applyBorder="1" applyAlignment="1">
      <alignment horizontal="center" vertical="center"/>
    </xf>
    <xf numFmtId="180" fontId="22" fillId="0" borderId="0" xfId="0" applyNumberFormat="1" applyFont="1" applyBorder="1" applyAlignment="1">
      <alignment horizontal="center" vertical="center"/>
    </xf>
    <xf numFmtId="180" fontId="22" fillId="0" borderId="0" xfId="0" applyNumberFormat="1" applyFont="1" applyFill="1" applyBorder="1">
      <alignment vertical="center"/>
    </xf>
    <xf numFmtId="176" fontId="22" fillId="0" borderId="0" xfId="0" applyNumberFormat="1" applyFont="1" applyFill="1" applyBorder="1">
      <alignment vertical="center"/>
    </xf>
    <xf numFmtId="180" fontId="42" fillId="0" borderId="0" xfId="0" applyNumberFormat="1" applyFont="1" applyFill="1" applyBorder="1">
      <alignment vertical="center"/>
    </xf>
    <xf numFmtId="180" fontId="62" fillId="0" borderId="0" xfId="0" applyNumberFormat="1" applyFont="1" applyBorder="1" applyAlignment="1">
      <alignment horizontal="center" vertical="center"/>
    </xf>
    <xf numFmtId="0" fontId="22" fillId="0" borderId="23" xfId="0" applyFont="1" applyFill="1" applyBorder="1" applyAlignment="1">
      <alignment horizontal="right" vertical="center"/>
    </xf>
    <xf numFmtId="2" fontId="62" fillId="0" borderId="34" xfId="0" applyNumberFormat="1" applyFont="1" applyBorder="1" applyAlignment="1">
      <alignment horizontal="center" vertical="center"/>
    </xf>
    <xf numFmtId="181" fontId="23" fillId="3" borderId="28" xfId="0" applyNumberFormat="1" applyFont="1" applyFill="1" applyBorder="1">
      <alignment vertical="center"/>
    </xf>
    <xf numFmtId="2" fontId="67" fillId="4" borderId="28" xfId="0" applyNumberFormat="1" applyFont="1" applyFill="1" applyBorder="1">
      <alignment vertical="center"/>
    </xf>
    <xf numFmtId="181" fontId="62" fillId="0" borderId="0" xfId="0" applyNumberFormat="1" applyFont="1" applyBorder="1" applyAlignment="1">
      <alignment horizontal="center" vertical="center"/>
    </xf>
    <xf numFmtId="180" fontId="67" fillId="4" borderId="28" xfId="0" applyNumberFormat="1" applyFont="1" applyFill="1" applyBorder="1">
      <alignment vertical="center"/>
    </xf>
    <xf numFmtId="2" fontId="53" fillId="0" borderId="28" xfId="0" applyNumberFormat="1" applyFont="1" applyFill="1" applyBorder="1" applyAlignment="1">
      <alignment horizontal="center" vertical="center"/>
    </xf>
    <xf numFmtId="176" fontId="76" fillId="9" borderId="29" xfId="0" applyNumberFormat="1" applyFont="1" applyFill="1" applyBorder="1">
      <alignment vertical="center"/>
    </xf>
    <xf numFmtId="176" fontId="22" fillId="0" borderId="7" xfId="0" applyNumberFormat="1" applyFont="1" applyFill="1" applyBorder="1">
      <alignment vertical="center"/>
    </xf>
    <xf numFmtId="176" fontId="22" fillId="0" borderId="14" xfId="0" applyNumberFormat="1" applyFont="1" applyFill="1" applyBorder="1">
      <alignment vertical="center"/>
    </xf>
    <xf numFmtId="0" fontId="22" fillId="0" borderId="18" xfId="0" quotePrefix="1" applyFont="1" applyBorder="1" applyAlignment="1">
      <alignment horizontal="center" vertical="center"/>
    </xf>
    <xf numFmtId="176" fontId="22" fillId="0" borderId="17" xfId="0" applyNumberFormat="1" applyFont="1" applyFill="1" applyBorder="1" applyAlignment="1">
      <alignment horizontal="center" vertical="center"/>
    </xf>
    <xf numFmtId="176" fontId="22" fillId="0" borderId="18" xfId="0" applyNumberFormat="1" applyFont="1" applyFill="1" applyBorder="1" applyAlignment="1">
      <alignment horizontal="center" vertical="center"/>
    </xf>
    <xf numFmtId="176" fontId="22" fillId="0" borderId="0" xfId="0" quotePrefix="1" applyNumberFormat="1" applyFont="1" applyFill="1" applyBorder="1">
      <alignment vertical="center"/>
    </xf>
    <xf numFmtId="0" fontId="72" fillId="0" borderId="0" xfId="0" applyFont="1">
      <alignment vertical="center"/>
    </xf>
    <xf numFmtId="0" fontId="49" fillId="0" borderId="0" xfId="0" applyFont="1" applyFill="1" applyBorder="1" applyAlignment="1">
      <alignment horizontal="center" vertical="center"/>
    </xf>
    <xf numFmtId="9" fontId="22" fillId="0" borderId="0" xfId="92" applyFont="1" applyFill="1" applyBorder="1" applyAlignment="1">
      <alignment horizontal="right" vertical="center"/>
    </xf>
    <xf numFmtId="9" fontId="22" fillId="0" borderId="0" xfId="92" applyFont="1" applyFill="1" applyBorder="1">
      <alignment vertical="center"/>
    </xf>
    <xf numFmtId="0" fontId="66" fillId="0" borderId="0" xfId="0" applyFont="1" applyFill="1" applyBorder="1">
      <alignment vertical="center"/>
    </xf>
    <xf numFmtId="0" fontId="22" fillId="0" borderId="0" xfId="0" applyFont="1" applyFill="1" applyBorder="1" applyAlignment="1">
      <alignment horizontal="center" vertical="center"/>
    </xf>
    <xf numFmtId="2" fontId="22" fillId="0" borderId="0" xfId="0" applyNumberFormat="1" applyFont="1" applyFill="1" applyBorder="1" applyAlignment="1">
      <alignment horizontal="center" vertical="center"/>
    </xf>
    <xf numFmtId="0" fontId="49" fillId="0" borderId="0" xfId="0" applyFont="1" applyFill="1" applyBorder="1">
      <alignment vertical="center"/>
    </xf>
    <xf numFmtId="0" fontId="60" fillId="0" borderId="0" xfId="0" quotePrefix="1" applyFont="1" applyFill="1" applyBorder="1" applyAlignment="1">
      <alignment horizontal="left" vertical="center"/>
    </xf>
    <xf numFmtId="0" fontId="60" fillId="0" borderId="0" xfId="0" quotePrefix="1" applyFont="1" applyFill="1" applyBorder="1" applyAlignment="1">
      <alignment horizontal="right" vertical="center"/>
    </xf>
    <xf numFmtId="181" fontId="22" fillId="0" borderId="0" xfId="0" applyNumberFormat="1" applyFont="1" applyFill="1" applyBorder="1">
      <alignment vertical="center"/>
    </xf>
    <xf numFmtId="2" fontId="25" fillId="0" borderId="0" xfId="0" applyNumberFormat="1" applyFont="1" applyFill="1" applyBorder="1">
      <alignment vertical="center"/>
    </xf>
    <xf numFmtId="181" fontId="25" fillId="0" borderId="0" xfId="0" applyNumberFormat="1" applyFont="1" applyFill="1" applyBorder="1">
      <alignment vertical="center"/>
    </xf>
    <xf numFmtId="196" fontId="49" fillId="0" borderId="0" xfId="0" applyNumberFormat="1" applyFont="1" applyFill="1" applyBorder="1">
      <alignment vertical="center"/>
    </xf>
    <xf numFmtId="0" fontId="22" fillId="0" borderId="2" xfId="0" applyFont="1" applyBorder="1" applyAlignment="1">
      <alignment horizontal="right" vertical="center"/>
    </xf>
    <xf numFmtId="0" fontId="22" fillId="0" borderId="5" xfId="0" applyFont="1" applyBorder="1" applyAlignment="1">
      <alignment horizontal="right" vertical="center"/>
    </xf>
    <xf numFmtId="180" fontId="42" fillId="0" borderId="6" xfId="0" applyNumberFormat="1" applyFont="1" applyBorder="1">
      <alignment vertical="center"/>
    </xf>
    <xf numFmtId="199" fontId="22" fillId="0" borderId="0" xfId="0" applyNumberFormat="1" applyFont="1" applyBorder="1" applyAlignment="1">
      <alignment horizontal="right" vertical="center"/>
    </xf>
    <xf numFmtId="0" fontId="22" fillId="0" borderId="4" xfId="0" applyFont="1" applyFill="1" applyBorder="1" applyAlignment="1">
      <alignment horizontal="center" vertical="center"/>
    </xf>
    <xf numFmtId="0" fontId="40" fillId="0" borderId="0" xfId="0" applyFont="1">
      <alignment vertical="center"/>
    </xf>
    <xf numFmtId="0" fontId="74" fillId="0" borderId="0" xfId="0" quotePrefix="1" applyFont="1">
      <alignment vertical="center"/>
    </xf>
    <xf numFmtId="191" fontId="22" fillId="0" borderId="2" xfId="0" applyNumberFormat="1" applyFont="1" applyBorder="1">
      <alignment vertical="center"/>
    </xf>
    <xf numFmtId="189" fontId="22" fillId="0" borderId="5" xfId="0" applyNumberFormat="1" applyFont="1" applyBorder="1">
      <alignment vertical="center"/>
    </xf>
    <xf numFmtId="188" fontId="65" fillId="9" borderId="5" xfId="0" applyNumberFormat="1" applyFont="1" applyFill="1" applyBorder="1">
      <alignment vertical="center"/>
    </xf>
    <xf numFmtId="190" fontId="22" fillId="0" borderId="5" xfId="0" applyNumberFormat="1" applyFont="1" applyBorder="1">
      <alignment vertical="center"/>
    </xf>
    <xf numFmtId="192" fontId="22" fillId="0" borderId="14" xfId="0" applyNumberFormat="1" applyFont="1" applyBorder="1">
      <alignment vertical="center"/>
    </xf>
    <xf numFmtId="199" fontId="22" fillId="0" borderId="0" xfId="0" applyNumberFormat="1" applyFont="1" applyBorder="1">
      <alignment vertical="center"/>
    </xf>
    <xf numFmtId="199" fontId="22" fillId="9" borderId="0" xfId="0" applyNumberFormat="1" applyFont="1" applyFill="1" applyBorder="1">
      <alignment vertical="center"/>
    </xf>
    <xf numFmtId="176" fontId="22" fillId="9" borderId="0" xfId="0" applyNumberFormat="1" applyFont="1" applyFill="1" applyBorder="1">
      <alignment vertical="center"/>
    </xf>
    <xf numFmtId="199" fontId="22" fillId="0" borderId="3" xfId="0" applyNumberFormat="1" applyFont="1" applyBorder="1">
      <alignment vertical="center"/>
    </xf>
    <xf numFmtId="199" fontId="22" fillId="0" borderId="7" xfId="0" applyNumberFormat="1" applyFont="1" applyBorder="1">
      <alignment vertical="center"/>
    </xf>
    <xf numFmtId="178" fontId="42" fillId="0" borderId="2" xfId="0" applyNumberFormat="1" applyFont="1" applyBorder="1">
      <alignment vertical="center"/>
    </xf>
    <xf numFmtId="178" fontId="42" fillId="0" borderId="5" xfId="0" applyNumberFormat="1" applyFont="1" applyBorder="1">
      <alignment vertical="center"/>
    </xf>
    <xf numFmtId="178" fontId="42" fillId="9" borderId="5" xfId="0" applyNumberFormat="1" applyFont="1" applyFill="1" applyBorder="1">
      <alignment vertical="center"/>
    </xf>
    <xf numFmtId="178" fontId="42" fillId="0" borderId="14" xfId="0" applyNumberFormat="1" applyFont="1" applyBorder="1">
      <alignment vertical="center"/>
    </xf>
    <xf numFmtId="178" fontId="42" fillId="0" borderId="3" xfId="0" applyNumberFormat="1" applyFont="1" applyBorder="1">
      <alignment vertical="center"/>
    </xf>
    <xf numFmtId="178" fontId="42" fillId="0" borderId="0" xfId="0" applyNumberFormat="1" applyFont="1" applyBorder="1">
      <alignment vertical="center"/>
    </xf>
    <xf numFmtId="178" fontId="42" fillId="9" borderId="0" xfId="0" applyNumberFormat="1" applyFont="1" applyFill="1" applyBorder="1">
      <alignment vertical="center"/>
    </xf>
    <xf numFmtId="178" fontId="42" fillId="0" borderId="7" xfId="0" applyNumberFormat="1" applyFont="1" applyBorder="1">
      <alignment vertical="center"/>
    </xf>
    <xf numFmtId="176" fontId="22" fillId="0" borderId="29" xfId="0" applyNumberFormat="1" applyFont="1" applyFill="1" applyBorder="1">
      <alignment vertical="center"/>
    </xf>
    <xf numFmtId="2" fontId="22" fillId="0" borderId="6" xfId="0" applyNumberFormat="1" applyFont="1" applyBorder="1">
      <alignment vertical="center"/>
    </xf>
    <xf numFmtId="200" fontId="22" fillId="0" borderId="8" xfId="0" applyNumberFormat="1" applyFont="1" applyFill="1" applyBorder="1" applyAlignment="1">
      <alignment horizontal="right" vertical="center"/>
    </xf>
    <xf numFmtId="176" fontId="22" fillId="0" borderId="10" xfId="0" applyNumberFormat="1" applyFont="1" applyFill="1" applyBorder="1">
      <alignment vertical="center"/>
    </xf>
    <xf numFmtId="180" fontId="22" fillId="9" borderId="6" xfId="0" applyNumberFormat="1" applyFont="1" applyFill="1" applyBorder="1">
      <alignment vertical="center"/>
    </xf>
    <xf numFmtId="0" fontId="49" fillId="0" borderId="0" xfId="0" applyFont="1" applyFill="1">
      <alignment vertical="center"/>
    </xf>
    <xf numFmtId="176" fontId="25" fillId="0" borderId="3" xfId="0" applyNumberFormat="1" applyFont="1" applyFill="1" applyBorder="1">
      <alignment vertical="center"/>
    </xf>
    <xf numFmtId="176" fontId="22" fillId="0" borderId="3" xfId="0" applyNumberFormat="1" applyFont="1" applyFill="1" applyBorder="1">
      <alignment vertical="center"/>
    </xf>
    <xf numFmtId="187" fontId="22" fillId="0" borderId="0" xfId="0" applyNumberFormat="1" applyFont="1" applyFill="1" applyBorder="1">
      <alignment vertical="center"/>
    </xf>
    <xf numFmtId="176" fontId="22" fillId="0" borderId="8" xfId="0" applyNumberFormat="1" applyFont="1" applyFill="1" applyBorder="1">
      <alignment vertical="center"/>
    </xf>
    <xf numFmtId="0" fontId="22" fillId="0" borderId="0" xfId="0" applyFont="1" applyFill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9" fontId="22" fillId="0" borderId="0" xfId="92" applyFont="1" applyFill="1" applyBorder="1" applyAlignment="1">
      <alignment horizontal="center" vertical="center"/>
    </xf>
    <xf numFmtId="181" fontId="22" fillId="0" borderId="0" xfId="0" applyNumberFormat="1" applyFont="1" applyFill="1" applyBorder="1" applyAlignment="1">
      <alignment horizontal="center" vertical="center"/>
    </xf>
    <xf numFmtId="180" fontId="22" fillId="0" borderId="0" xfId="0" applyNumberFormat="1" applyFont="1" applyFill="1" applyBorder="1" applyAlignment="1">
      <alignment horizontal="center" vertical="center"/>
    </xf>
    <xf numFmtId="2" fontId="25" fillId="0" borderId="0" xfId="0" applyNumberFormat="1" applyFont="1" applyFill="1" applyBorder="1" applyAlignment="1">
      <alignment horizontal="center" vertical="center"/>
    </xf>
    <xf numFmtId="181" fontId="25" fillId="0" borderId="0" xfId="0" applyNumberFormat="1" applyFont="1" applyFill="1" applyBorder="1" applyAlignment="1">
      <alignment horizontal="center" vertical="center"/>
    </xf>
    <xf numFmtId="2" fontId="22" fillId="0" borderId="3" xfId="0" applyNumberFormat="1" applyFont="1" applyFill="1" applyBorder="1" applyAlignment="1">
      <alignment horizontal="center" vertical="center"/>
    </xf>
    <xf numFmtId="2" fontId="22" fillId="0" borderId="3" xfId="0" applyNumberFormat="1" applyFont="1" applyFill="1" applyBorder="1">
      <alignment vertical="center"/>
    </xf>
    <xf numFmtId="0" fontId="22" fillId="0" borderId="4" xfId="0" quotePrefix="1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74" fillId="0" borderId="8" xfId="0" quotePrefix="1" applyFont="1" applyFill="1" applyBorder="1" applyAlignment="1">
      <alignment horizontal="center" vertical="center"/>
    </xf>
    <xf numFmtId="0" fontId="22" fillId="0" borderId="0" xfId="0" quotePrefix="1" applyFont="1" applyFill="1" applyBorder="1" applyAlignment="1">
      <alignment horizontal="left" vertical="center"/>
    </xf>
    <xf numFmtId="0" fontId="74" fillId="0" borderId="0" xfId="0" applyFont="1" applyFill="1" applyBorder="1">
      <alignment vertical="center"/>
    </xf>
    <xf numFmtId="2" fontId="22" fillId="0" borderId="0" xfId="0" quotePrefix="1" applyNumberFormat="1" applyFont="1" applyFill="1" applyBorder="1" applyAlignment="1">
      <alignment horizontal="center" vertical="center"/>
    </xf>
    <xf numFmtId="181" fontId="22" fillId="0" borderId="0" xfId="0" quotePrefix="1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/>
    </xf>
    <xf numFmtId="9" fontId="22" fillId="0" borderId="0" xfId="92" applyFont="1" applyFill="1" applyBorder="1" applyAlignment="1">
      <alignment horizontal="left" vertical="center"/>
    </xf>
    <xf numFmtId="197" fontId="42" fillId="0" borderId="0" xfId="0" applyNumberFormat="1" applyFont="1" applyFill="1">
      <alignment vertical="center"/>
    </xf>
    <xf numFmtId="0" fontId="31" fillId="11" borderId="0" xfId="0" applyFont="1" applyFill="1" applyAlignment="1">
      <alignment horizontal="right" vertical="center"/>
    </xf>
    <xf numFmtId="181" fontId="22" fillId="0" borderId="0" xfId="0" applyNumberFormat="1" applyFont="1" applyFill="1" applyBorder="1" applyAlignment="1">
      <alignment horizontal="left" vertical="center"/>
    </xf>
    <xf numFmtId="198" fontId="22" fillId="0" borderId="0" xfId="0" applyNumberFormat="1" applyFont="1" applyFill="1" applyBorder="1">
      <alignment vertical="center"/>
    </xf>
    <xf numFmtId="178" fontId="22" fillId="0" borderId="0" xfId="0" applyNumberFormat="1" applyFont="1" applyFill="1" applyBorder="1">
      <alignment vertical="center"/>
    </xf>
    <xf numFmtId="177" fontId="22" fillId="0" borderId="0" xfId="0" applyNumberFormat="1" applyFont="1" applyFill="1" applyBorder="1">
      <alignment vertical="center"/>
    </xf>
    <xf numFmtId="0" fontId="22" fillId="0" borderId="8" xfId="0" applyFont="1" applyFill="1" applyBorder="1" applyAlignment="1">
      <alignment horizontal="center" vertical="center"/>
    </xf>
    <xf numFmtId="198" fontId="22" fillId="5" borderId="10" xfId="0" applyNumberFormat="1" applyFont="1" applyFill="1" applyBorder="1" applyAlignment="1">
      <alignment horizontal="right" vertical="center"/>
    </xf>
    <xf numFmtId="184" fontId="22" fillId="0" borderId="0" xfId="0" applyNumberFormat="1" applyFont="1" applyFill="1" applyBorder="1">
      <alignment vertical="center"/>
    </xf>
    <xf numFmtId="0" fontId="81" fillId="0" borderId="0" xfId="0" applyFont="1">
      <alignment vertical="center"/>
    </xf>
    <xf numFmtId="1" fontId="22" fillId="0" borderId="0" xfId="0" applyNumberFormat="1" applyFont="1" applyFill="1" applyBorder="1">
      <alignment vertical="center"/>
    </xf>
    <xf numFmtId="202" fontId="42" fillId="0" borderId="0" xfId="0" applyNumberFormat="1" applyFont="1" applyFill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200" fontId="82" fillId="0" borderId="0" xfId="0" applyNumberFormat="1" applyFont="1">
      <alignment vertical="center"/>
    </xf>
    <xf numFmtId="1" fontId="22" fillId="0" borderId="0" xfId="0" applyNumberFormat="1" applyFont="1" applyFill="1" applyBorder="1" applyAlignment="1">
      <alignment horizontal="right" vertical="center"/>
    </xf>
    <xf numFmtId="201" fontId="81" fillId="0" borderId="0" xfId="0" applyNumberFormat="1" applyFont="1" applyBorder="1" applyAlignment="1">
      <alignment horizontal="center" vertical="center"/>
    </xf>
    <xf numFmtId="200" fontId="22" fillId="0" borderId="8" xfId="0" applyNumberFormat="1" applyFont="1" applyFill="1" applyBorder="1" applyAlignment="1">
      <alignment horizontal="center" vertical="center"/>
    </xf>
    <xf numFmtId="201" fontId="81" fillId="0" borderId="9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200" fontId="25" fillId="6" borderId="14" xfId="0" applyNumberFormat="1" applyFont="1" applyFill="1" applyBorder="1" applyAlignment="1">
      <alignment horizontal="right" vertical="center"/>
    </xf>
    <xf numFmtId="0" fontId="25" fillId="0" borderId="4" xfId="0" applyFont="1" applyBorder="1" applyAlignment="1">
      <alignment horizontal="center" vertical="center"/>
    </xf>
    <xf numFmtId="185" fontId="22" fillId="0" borderId="0" xfId="0" applyNumberFormat="1" applyFont="1" applyFill="1" applyBorder="1">
      <alignment vertical="center"/>
    </xf>
    <xf numFmtId="0" fontId="83" fillId="0" borderId="0" xfId="0" applyFont="1" applyAlignment="1">
      <alignment horizontal="right" vertical="center"/>
    </xf>
    <xf numFmtId="199" fontId="25" fillId="6" borderId="7" xfId="0" applyNumberFormat="1" applyFont="1" applyFill="1" applyBorder="1" applyAlignment="1">
      <alignment horizontal="right" vertical="center"/>
    </xf>
    <xf numFmtId="2" fontId="82" fillId="0" borderId="0" xfId="0" applyNumberFormat="1" applyFont="1">
      <alignment vertical="center"/>
    </xf>
    <xf numFmtId="2" fontId="53" fillId="0" borderId="7" xfId="0" applyNumberFormat="1" applyFont="1" applyFill="1" applyBorder="1" applyAlignment="1">
      <alignment horizontal="center" vertical="center"/>
    </xf>
    <xf numFmtId="0" fontId="60" fillId="0" borderId="6" xfId="0" quotePrefix="1" applyFont="1" applyBorder="1" applyAlignment="1">
      <alignment horizontal="right" vertical="center"/>
    </xf>
    <xf numFmtId="2" fontId="22" fillId="0" borderId="10" xfId="0" applyNumberFormat="1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0" fillId="0" borderId="23" xfId="0" applyBorder="1">
      <alignment vertical="center"/>
    </xf>
    <xf numFmtId="0" fontId="74" fillId="0" borderId="23" xfId="0" applyFont="1" applyFill="1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181" fontId="22" fillId="0" borderId="17" xfId="0" applyNumberFormat="1" applyFont="1" applyBorder="1" applyAlignment="1">
      <alignment horizontal="left" vertical="center"/>
    </xf>
    <xf numFmtId="180" fontId="25" fillId="0" borderId="0" xfId="0" applyNumberFormat="1" applyFont="1" applyFill="1" applyBorder="1" applyAlignment="1">
      <alignment horizontal="center" vertical="center"/>
    </xf>
    <xf numFmtId="180" fontId="67" fillId="0" borderId="0" xfId="0" applyNumberFormat="1" applyFont="1" applyFill="1" applyBorder="1">
      <alignment vertical="center"/>
    </xf>
    <xf numFmtId="2" fontId="67" fillId="0" borderId="0" xfId="0" quotePrefix="1" applyNumberFormat="1" applyFont="1" applyFill="1" applyBorder="1" applyAlignment="1">
      <alignment horizontal="center" vertical="center"/>
    </xf>
    <xf numFmtId="181" fontId="42" fillId="0" borderId="19" xfId="0" applyNumberFormat="1" applyFont="1" applyBorder="1">
      <alignment vertical="center"/>
    </xf>
    <xf numFmtId="203" fontId="42" fillId="0" borderId="7" xfId="0" applyNumberFormat="1" applyFont="1" applyBorder="1" applyAlignment="1">
      <alignment horizontal="left" vertical="center"/>
    </xf>
    <xf numFmtId="181" fontId="22" fillId="0" borderId="17" xfId="0" applyNumberFormat="1" applyFont="1" applyFill="1" applyBorder="1" applyAlignment="1">
      <alignment horizontal="left" vertical="center"/>
    </xf>
    <xf numFmtId="2" fontId="25" fillId="0" borderId="7" xfId="0" applyNumberFormat="1" applyFont="1" applyBorder="1" applyAlignment="1">
      <alignment horizontal="left" vertical="center"/>
    </xf>
    <xf numFmtId="2" fontId="22" fillId="0" borderId="17" xfId="0" applyNumberFormat="1" applyFont="1" applyBorder="1" applyAlignment="1">
      <alignment horizontal="center" vertical="center"/>
    </xf>
    <xf numFmtId="178" fontId="67" fillId="0" borderId="7" xfId="0" applyNumberFormat="1" applyFont="1" applyBorder="1" applyAlignment="1">
      <alignment horizontal="right" vertical="center"/>
    </xf>
    <xf numFmtId="0" fontId="50" fillId="0" borderId="0" xfId="0" applyFont="1" applyFill="1">
      <alignment vertical="center"/>
    </xf>
    <xf numFmtId="2" fontId="22" fillId="0" borderId="9" xfId="0" applyNumberFormat="1" applyFont="1" applyBorder="1">
      <alignment vertical="center"/>
    </xf>
    <xf numFmtId="180" fontId="67" fillId="4" borderId="14" xfId="0" applyNumberFormat="1" applyFont="1" applyFill="1" applyBorder="1">
      <alignment vertical="center"/>
    </xf>
    <xf numFmtId="0" fontId="31" fillId="0" borderId="16" xfId="0" applyFont="1" applyFill="1" applyBorder="1" applyAlignment="1">
      <alignment horizontal="left" vertical="center"/>
    </xf>
    <xf numFmtId="0" fontId="31" fillId="0" borderId="16" xfId="0" applyFont="1" applyBorder="1">
      <alignment vertical="center"/>
    </xf>
    <xf numFmtId="0" fontId="60" fillId="0" borderId="0" xfId="0" applyFont="1" applyBorder="1" applyAlignment="1">
      <alignment horizontal="right" vertical="center"/>
    </xf>
    <xf numFmtId="0" fontId="60" fillId="0" borderId="6" xfId="0" applyFont="1" applyBorder="1" applyAlignment="1">
      <alignment horizontal="right" vertical="center"/>
    </xf>
    <xf numFmtId="0" fontId="60" fillId="0" borderId="7" xfId="0" applyFont="1" applyBorder="1" applyAlignment="1">
      <alignment horizontal="right" vertical="center"/>
    </xf>
    <xf numFmtId="0" fontId="60" fillId="0" borderId="8" xfId="0" applyFont="1" applyBorder="1" applyAlignment="1">
      <alignment horizontal="right" vertical="center"/>
    </xf>
    <xf numFmtId="183" fontId="84" fillId="0" borderId="0" xfId="0" applyNumberFormat="1" applyFont="1">
      <alignment vertical="center"/>
    </xf>
    <xf numFmtId="182" fontId="21" fillId="0" borderId="0" xfId="0" applyNumberFormat="1" applyFont="1">
      <alignment vertical="center"/>
    </xf>
    <xf numFmtId="182" fontId="85" fillId="0" borderId="0" xfId="0" applyNumberFormat="1" applyFont="1">
      <alignment vertical="center"/>
    </xf>
    <xf numFmtId="0" fontId="22" fillId="0" borderId="8" xfId="10" applyFont="1" applyFill="1" applyBorder="1" applyAlignment="1">
      <alignment horizontal="center" vertical="center"/>
    </xf>
    <xf numFmtId="0" fontId="22" fillId="0" borderId="14" xfId="10" applyFont="1" applyFill="1" applyBorder="1" applyAlignment="1">
      <alignment horizontal="center" vertical="center"/>
    </xf>
    <xf numFmtId="0" fontId="22" fillId="0" borderId="7" xfId="10" applyFont="1" applyFill="1" applyBorder="1" applyAlignment="1">
      <alignment horizontal="center" vertical="center"/>
    </xf>
    <xf numFmtId="0" fontId="22" fillId="0" borderId="7" xfId="10" applyFont="1" applyFill="1" applyBorder="1">
      <alignment vertical="center"/>
    </xf>
    <xf numFmtId="0" fontId="22" fillId="0" borderId="14" xfId="0" applyFont="1" applyBorder="1">
      <alignment vertical="center"/>
    </xf>
    <xf numFmtId="182" fontId="42" fillId="0" borderId="10" xfId="0" applyNumberFormat="1" applyFont="1" applyBorder="1">
      <alignment vertical="center"/>
    </xf>
    <xf numFmtId="182" fontId="42" fillId="0" borderId="9" xfId="0" applyNumberFormat="1" applyFont="1" applyBorder="1">
      <alignment vertical="center"/>
    </xf>
    <xf numFmtId="205" fontId="22" fillId="0" borderId="0" xfId="0" applyNumberFormat="1" applyFont="1">
      <alignment vertical="center"/>
    </xf>
    <xf numFmtId="185" fontId="23" fillId="3" borderId="10" xfId="0" applyNumberFormat="1" applyFont="1" applyFill="1" applyBorder="1">
      <alignment vertical="center"/>
    </xf>
    <xf numFmtId="185" fontId="23" fillId="3" borderId="9" xfId="0" applyNumberFormat="1" applyFont="1" applyFill="1" applyBorder="1">
      <alignment vertical="center"/>
    </xf>
    <xf numFmtId="0" fontId="42" fillId="0" borderId="0" xfId="10" applyFont="1" applyFill="1" applyBorder="1">
      <alignment vertical="center"/>
    </xf>
    <xf numFmtId="0" fontId="43" fillId="0" borderId="0" xfId="0" applyFont="1" applyFill="1" applyBorder="1">
      <alignment vertical="center"/>
    </xf>
    <xf numFmtId="0" fontId="34" fillId="0" borderId="0" xfId="0" applyFont="1" applyFill="1" applyBorder="1">
      <alignment vertical="center"/>
    </xf>
    <xf numFmtId="179" fontId="42" fillId="0" borderId="8" xfId="10" applyNumberFormat="1" applyFont="1" applyFill="1" applyBorder="1">
      <alignment vertical="center"/>
    </xf>
    <xf numFmtId="180" fontId="42" fillId="0" borderId="7" xfId="10" applyNumberFormat="1" applyFont="1" applyFill="1" applyBorder="1">
      <alignment vertical="center"/>
    </xf>
    <xf numFmtId="0" fontId="22" fillId="0" borderId="10" xfId="10" applyFont="1" applyFill="1" applyBorder="1">
      <alignment vertical="center"/>
    </xf>
    <xf numFmtId="0" fontId="31" fillId="0" borderId="0" xfId="0" quotePrefix="1" applyFont="1" applyFill="1" applyBorder="1">
      <alignment vertical="center"/>
    </xf>
    <xf numFmtId="179" fontId="42" fillId="0" borderId="6" xfId="10" applyNumberFormat="1" applyFont="1" applyFill="1" applyBorder="1">
      <alignment vertical="center"/>
    </xf>
    <xf numFmtId="180" fontId="42" fillId="0" borderId="0" xfId="10" applyNumberFormat="1" applyFont="1" applyFill="1" applyBorder="1">
      <alignment vertical="center"/>
    </xf>
    <xf numFmtId="0" fontId="22" fillId="0" borderId="1" xfId="10" applyFont="1" applyFill="1" applyBorder="1">
      <alignment vertical="center"/>
    </xf>
    <xf numFmtId="0" fontId="31" fillId="0" borderId="0" xfId="0" applyFont="1" applyFill="1" applyBorder="1">
      <alignment vertical="center"/>
    </xf>
    <xf numFmtId="176" fontId="64" fillId="0" borderId="6" xfId="10" applyNumberFormat="1" applyFont="1" applyFill="1" applyBorder="1">
      <alignment vertical="center"/>
    </xf>
    <xf numFmtId="178" fontId="64" fillId="0" borderId="0" xfId="10" applyNumberFormat="1" applyFont="1" applyFill="1" applyBorder="1">
      <alignment vertical="center"/>
    </xf>
    <xf numFmtId="206" fontId="23" fillId="3" borderId="1" xfId="10" applyNumberFormat="1" applyFont="1" applyFill="1" applyBorder="1" applyAlignment="1">
      <alignment horizontal="right" vertical="center"/>
    </xf>
    <xf numFmtId="177" fontId="31" fillId="0" borderId="0" xfId="0" quotePrefix="1" applyNumberFormat="1" applyFont="1" applyFill="1" applyBorder="1">
      <alignment vertical="center"/>
    </xf>
    <xf numFmtId="177" fontId="42" fillId="0" borderId="6" xfId="94" applyNumberFormat="1" applyFont="1" applyFill="1" applyBorder="1">
      <alignment vertical="center"/>
    </xf>
    <xf numFmtId="176" fontId="42" fillId="0" borderId="0" xfId="94" applyNumberFormat="1" applyFont="1" applyFill="1" applyBorder="1">
      <alignment vertical="center"/>
    </xf>
    <xf numFmtId="176" fontId="42" fillId="0" borderId="6" xfId="94" applyNumberFormat="1" applyFont="1" applyFill="1" applyBorder="1">
      <alignment vertical="center"/>
    </xf>
    <xf numFmtId="0" fontId="23" fillId="3" borderId="11" xfId="10" applyFont="1" applyFill="1" applyBorder="1" applyAlignment="1">
      <alignment horizontal="center" vertical="center"/>
    </xf>
    <xf numFmtId="178" fontId="43" fillId="0" borderId="0" xfId="94" applyNumberFormat="1" applyFont="1" applyFill="1" applyBorder="1">
      <alignment vertical="center"/>
    </xf>
    <xf numFmtId="0" fontId="21" fillId="0" borderId="0" xfId="0" quotePrefix="1" applyFont="1" applyFill="1" applyBorder="1" applyAlignment="1">
      <alignment horizontal="left" vertical="center"/>
    </xf>
    <xf numFmtId="181" fontId="37" fillId="0" borderId="10" xfId="0" applyNumberFormat="1" applyFont="1" applyFill="1" applyBorder="1">
      <alignment vertical="center"/>
    </xf>
    <xf numFmtId="180" fontId="22" fillId="0" borderId="0" xfId="10" applyNumberFormat="1" applyFont="1" applyFill="1" applyBorder="1" applyAlignment="1">
      <alignment horizontal="right" vertical="center"/>
    </xf>
    <xf numFmtId="181" fontId="37" fillId="0" borderId="1" xfId="0" applyNumberFormat="1" applyFont="1" applyFill="1" applyBorder="1">
      <alignment vertical="center"/>
    </xf>
    <xf numFmtId="179" fontId="30" fillId="0" borderId="0" xfId="10" applyNumberFormat="1" applyFont="1" applyFill="1" applyBorder="1">
      <alignment vertical="center"/>
    </xf>
    <xf numFmtId="180" fontId="30" fillId="0" borderId="9" xfId="10" applyNumberFormat="1" applyFont="1" applyFill="1" applyBorder="1">
      <alignment vertical="center"/>
    </xf>
    <xf numFmtId="181" fontId="22" fillId="0" borderId="0" xfId="10" applyNumberFormat="1" applyFont="1" applyFill="1" applyBorder="1">
      <alignment vertical="center"/>
    </xf>
    <xf numFmtId="11" fontId="42" fillId="0" borderId="4" xfId="10" applyNumberFormat="1" applyFont="1" applyFill="1" applyBorder="1" applyAlignment="1">
      <alignment horizontal="right" vertical="center"/>
    </xf>
    <xf numFmtId="11" fontId="42" fillId="0" borderId="3" xfId="10" applyNumberFormat="1" applyFont="1" applyFill="1" applyBorder="1" applyAlignment="1">
      <alignment horizontal="right" vertical="center"/>
    </xf>
    <xf numFmtId="0" fontId="22" fillId="0" borderId="0" xfId="11" applyFont="1" applyFill="1" applyAlignment="1">
      <alignment horizontal="left" vertical="center"/>
    </xf>
    <xf numFmtId="0" fontId="42" fillId="0" borderId="8" xfId="10" applyFont="1" applyFill="1" applyBorder="1">
      <alignment vertical="center"/>
    </xf>
    <xf numFmtId="0" fontId="42" fillId="0" borderId="7" xfId="10" applyFont="1" applyFill="1" applyBorder="1">
      <alignment vertical="center"/>
    </xf>
    <xf numFmtId="0" fontId="42" fillId="0" borderId="14" xfId="10" applyFont="1" applyFill="1" applyBorder="1" applyAlignment="1">
      <alignment horizontal="right" vertical="center"/>
    </xf>
    <xf numFmtId="0" fontId="22" fillId="0" borderId="0" xfId="11" applyFont="1" applyFill="1" applyAlignment="1">
      <alignment vertical="center"/>
    </xf>
    <xf numFmtId="0" fontId="42" fillId="0" borderId="6" xfId="10" applyFont="1" applyFill="1" applyBorder="1">
      <alignment vertical="center"/>
    </xf>
    <xf numFmtId="0" fontId="42" fillId="0" borderId="5" xfId="10" applyFont="1" applyFill="1" applyBorder="1" applyAlignment="1">
      <alignment horizontal="right" vertical="center"/>
    </xf>
    <xf numFmtId="10" fontId="42" fillId="0" borderId="7" xfId="92" applyNumberFormat="1" applyFont="1" applyFill="1" applyBorder="1" applyAlignment="1">
      <alignment horizontal="right" vertical="center"/>
    </xf>
    <xf numFmtId="0" fontId="21" fillId="0" borderId="6" xfId="10" applyFont="1" applyFill="1" applyBorder="1">
      <alignment vertical="center"/>
    </xf>
    <xf numFmtId="187" fontId="42" fillId="0" borderId="0" xfId="10" applyNumberFormat="1" applyFont="1" applyFill="1" applyBorder="1" applyAlignment="1">
      <alignment horizontal="left" vertical="center"/>
    </xf>
    <xf numFmtId="0" fontId="86" fillId="0" borderId="6" xfId="11" applyFont="1" applyFill="1" applyBorder="1" applyAlignment="1">
      <alignment vertical="center"/>
    </xf>
    <xf numFmtId="0" fontId="42" fillId="0" borderId="0" xfId="10" applyFont="1" applyFill="1" applyBorder="1" applyAlignment="1">
      <alignment horizontal="left" vertical="center"/>
    </xf>
    <xf numFmtId="0" fontId="42" fillId="0" borderId="4" xfId="11" applyFont="1" applyFill="1" applyBorder="1" applyAlignment="1">
      <alignment horizontal="right" vertical="center"/>
    </xf>
    <xf numFmtId="0" fontId="42" fillId="0" borderId="3" xfId="11" applyFont="1" applyFill="1" applyBorder="1" applyAlignment="1">
      <alignment horizontal="right" vertical="center"/>
    </xf>
    <xf numFmtId="0" fontId="42" fillId="0" borderId="2" xfId="11" applyFont="1" applyFill="1" applyBorder="1" applyAlignment="1">
      <alignment horizontal="right" vertical="center"/>
    </xf>
    <xf numFmtId="0" fontId="29" fillId="0" borderId="0" xfId="11" applyFont="1" applyFill="1" applyAlignment="1">
      <alignment vertical="center"/>
    </xf>
    <xf numFmtId="0" fontId="22" fillId="0" borderId="0" xfId="11" applyFont="1" applyFill="1" applyAlignment="1">
      <alignment horizontal="center" vertical="center"/>
    </xf>
    <xf numFmtId="0" fontId="22" fillId="0" borderId="0" xfId="10" applyFont="1" applyFill="1" applyBorder="1" applyAlignment="1">
      <alignment horizontal="left" vertical="center"/>
    </xf>
    <xf numFmtId="0" fontId="42" fillId="0" borderId="4" xfId="10" applyFont="1" applyFill="1" applyBorder="1">
      <alignment vertical="center"/>
    </xf>
    <xf numFmtId="0" fontId="42" fillId="0" borderId="3" xfId="10" applyFont="1" applyFill="1" applyBorder="1" applyAlignment="1">
      <alignment horizontal="left" vertical="center"/>
    </xf>
    <xf numFmtId="0" fontId="67" fillId="0" borderId="0" xfId="10" applyFont="1" applyFill="1" applyAlignment="1">
      <alignment horizontal="center" vertical="center"/>
    </xf>
    <xf numFmtId="0" fontId="84" fillId="0" borderId="0" xfId="0" applyFont="1">
      <alignment vertical="center"/>
    </xf>
    <xf numFmtId="0" fontId="23" fillId="3" borderId="12" xfId="10" applyFont="1" applyFill="1" applyBorder="1" applyAlignment="1">
      <alignment horizontal="left" vertical="center"/>
    </xf>
    <xf numFmtId="2" fontId="53" fillId="0" borderId="0" xfId="0" applyNumberFormat="1" applyFont="1" applyFill="1" applyBorder="1" applyAlignment="1">
      <alignment horizontal="center" vertical="center"/>
    </xf>
    <xf numFmtId="181" fontId="22" fillId="0" borderId="0" xfId="0" applyNumberFormat="1" applyFont="1" applyBorder="1" applyAlignment="1">
      <alignment horizontal="left" vertical="center"/>
    </xf>
    <xf numFmtId="203" fontId="42" fillId="0" borderId="0" xfId="0" applyNumberFormat="1" applyFont="1" applyBorder="1" applyAlignment="1">
      <alignment horizontal="left" vertical="center"/>
    </xf>
    <xf numFmtId="0" fontId="31" fillId="0" borderId="0" xfId="0" applyFont="1" applyFill="1" applyBorder="1" applyAlignment="1">
      <alignment horizontal="left" vertical="center"/>
    </xf>
    <xf numFmtId="181" fontId="42" fillId="0" borderId="0" xfId="0" applyNumberFormat="1" applyFont="1" applyFill="1" applyBorder="1" applyAlignment="1">
      <alignment horizontal="right" vertical="center"/>
    </xf>
    <xf numFmtId="2" fontId="22" fillId="0" borderId="0" xfId="0" applyNumberFormat="1" applyFont="1" applyFill="1" applyBorder="1" applyAlignment="1">
      <alignment horizontal="left" vertical="center"/>
    </xf>
    <xf numFmtId="200" fontId="82" fillId="0" borderId="0" xfId="0" applyNumberFormat="1" applyFont="1" applyBorder="1">
      <alignment vertical="center"/>
    </xf>
    <xf numFmtId="200" fontId="22" fillId="0" borderId="0" xfId="0" applyNumberFormat="1" applyFont="1" applyFill="1" applyBorder="1" applyAlignment="1">
      <alignment horizontal="center" vertical="center"/>
    </xf>
    <xf numFmtId="201" fontId="81" fillId="0" borderId="0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199" fontId="22" fillId="0" borderId="0" xfId="0" applyNumberFormat="1" applyFont="1" applyFill="1" applyBorder="1" applyAlignment="1">
      <alignment horizontal="right" vertical="center"/>
    </xf>
    <xf numFmtId="200" fontId="25" fillId="0" borderId="0" xfId="0" applyNumberFormat="1" applyFont="1" applyFill="1" applyBorder="1" applyAlignment="1">
      <alignment horizontal="right" vertical="center"/>
    </xf>
    <xf numFmtId="199" fontId="25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81" fillId="0" borderId="0" xfId="0" applyFont="1" applyFill="1" applyBorder="1">
      <alignment vertical="center"/>
    </xf>
    <xf numFmtId="198" fontId="22" fillId="0" borderId="0" xfId="0" applyNumberFormat="1" applyFont="1" applyFill="1" applyBorder="1" applyAlignment="1">
      <alignment horizontal="right" vertical="center"/>
    </xf>
    <xf numFmtId="178" fontId="22" fillId="0" borderId="0" xfId="0" applyNumberFormat="1" applyFont="1" applyBorder="1" applyAlignment="1">
      <alignment horizontal="right" vertical="center"/>
    </xf>
    <xf numFmtId="176" fontId="42" fillId="0" borderId="0" xfId="0" applyNumberFormat="1" applyFont="1" applyBorder="1" applyAlignment="1">
      <alignment horizontal="right" vertical="center"/>
    </xf>
    <xf numFmtId="176" fontId="42" fillId="0" borderId="0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center" vertical="center"/>
    </xf>
    <xf numFmtId="177" fontId="62" fillId="0" borderId="0" xfId="0" applyNumberFormat="1" applyFont="1">
      <alignment vertical="center"/>
    </xf>
    <xf numFmtId="181" fontId="22" fillId="0" borderId="10" xfId="0" applyNumberFormat="1" applyFont="1" applyFill="1" applyBorder="1">
      <alignment vertical="center"/>
    </xf>
    <xf numFmtId="0" fontId="42" fillId="0" borderId="0" xfId="0" applyNumberFormat="1" applyFont="1" applyFill="1" applyBorder="1" applyAlignment="1">
      <alignment horizontal="right" vertical="center"/>
    </xf>
    <xf numFmtId="0" fontId="87" fillId="0" borderId="0" xfId="0" applyFont="1" applyAlignment="1">
      <alignment horizontal="right" vertical="center"/>
    </xf>
    <xf numFmtId="2" fontId="62" fillId="0" borderId="0" xfId="0" applyNumberFormat="1" applyFont="1" applyFill="1" applyBorder="1">
      <alignment vertical="center"/>
    </xf>
    <xf numFmtId="176" fontId="87" fillId="0" borderId="6" xfId="0" applyNumberFormat="1" applyFont="1" applyFill="1" applyBorder="1" applyAlignment="1">
      <alignment horizontal="right" vertical="center"/>
    </xf>
    <xf numFmtId="2" fontId="62" fillId="0" borderId="5" xfId="0" quotePrefix="1" applyNumberFormat="1" applyFont="1" applyFill="1" applyBorder="1" applyAlignment="1">
      <alignment horizontal="right" vertical="center"/>
    </xf>
    <xf numFmtId="2" fontId="62" fillId="0" borderId="14" xfId="0" applyNumberFormat="1" applyFont="1" applyFill="1" applyBorder="1" applyAlignment="1">
      <alignment horizontal="right" vertical="center"/>
    </xf>
    <xf numFmtId="180" fontId="62" fillId="0" borderId="8" xfId="0" applyNumberFormat="1" applyFont="1" applyFill="1" applyBorder="1" applyAlignment="1">
      <alignment horizontal="right" vertical="center"/>
    </xf>
    <xf numFmtId="177" fontId="87" fillId="0" borderId="2" xfId="0" applyNumberFormat="1" applyFont="1" applyBorder="1" applyAlignment="1">
      <alignment horizontal="right" vertical="center"/>
    </xf>
    <xf numFmtId="176" fontId="87" fillId="0" borderId="4" xfId="0" applyNumberFormat="1" applyFont="1" applyFill="1" applyBorder="1" applyAlignment="1">
      <alignment horizontal="right" vertical="center"/>
    </xf>
    <xf numFmtId="207" fontId="87" fillId="0" borderId="14" xfId="0" applyNumberFormat="1" applyFont="1" applyBorder="1" applyAlignment="1">
      <alignment horizontal="right" vertical="center"/>
    </xf>
    <xf numFmtId="176" fontId="87" fillId="0" borderId="8" xfId="0" applyNumberFormat="1" applyFont="1" applyFill="1" applyBorder="1" applyAlignment="1">
      <alignment horizontal="right" vertical="center"/>
    </xf>
    <xf numFmtId="2" fontId="62" fillId="0" borderId="2" xfId="0" applyNumberFormat="1" applyFont="1" applyFill="1" applyBorder="1" applyAlignment="1">
      <alignment horizontal="right" vertical="center"/>
    </xf>
    <xf numFmtId="2" fontId="62" fillId="0" borderId="14" xfId="0" quotePrefix="1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 vertical="center"/>
    </xf>
    <xf numFmtId="0" fontId="74" fillId="0" borderId="0" xfId="0" quotePrefix="1" applyFont="1" applyFill="1" applyBorder="1" applyAlignment="1">
      <alignment horizontal="center" vertical="center"/>
    </xf>
    <xf numFmtId="176" fontId="42" fillId="0" borderId="6" xfId="0" applyNumberFormat="1" applyFont="1" applyFill="1" applyBorder="1" applyAlignment="1">
      <alignment horizontal="right" vertical="center"/>
    </xf>
    <xf numFmtId="176" fontId="42" fillId="0" borderId="7" xfId="0" applyNumberFormat="1" applyFont="1" applyBorder="1" applyAlignment="1">
      <alignment horizontal="right" vertical="center"/>
    </xf>
    <xf numFmtId="176" fontId="42" fillId="0" borderId="8" xfId="0" applyNumberFormat="1" applyFont="1" applyFill="1" applyBorder="1" applyAlignment="1">
      <alignment horizontal="right" vertical="center"/>
    </xf>
    <xf numFmtId="0" fontId="0" fillId="0" borderId="12" xfId="0" applyFont="1" applyBorder="1" applyAlignment="1">
      <alignment horizontal="center" vertical="center"/>
    </xf>
    <xf numFmtId="2" fontId="0" fillId="0" borderId="13" xfId="0" applyNumberFormat="1" applyFont="1" applyFill="1" applyBorder="1" applyAlignment="1">
      <alignment horizontal="center" vertical="center"/>
    </xf>
    <xf numFmtId="0" fontId="0" fillId="0" borderId="11" xfId="0" applyBorder="1">
      <alignment vertical="center"/>
    </xf>
    <xf numFmtId="0" fontId="60" fillId="0" borderId="1" xfId="0" applyFont="1" applyBorder="1" applyAlignment="1">
      <alignment horizontal="right" vertical="center"/>
    </xf>
    <xf numFmtId="0" fontId="60" fillId="0" borderId="1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2" fontId="45" fillId="3" borderId="11" xfId="0" applyNumberFormat="1" applyFont="1" applyFill="1" applyBorder="1">
      <alignment vertical="center"/>
    </xf>
    <xf numFmtId="2" fontId="62" fillId="0" borderId="15" xfId="0" applyNumberFormat="1" applyFont="1" applyFill="1" applyBorder="1" applyAlignment="1">
      <alignment horizontal="center" vertical="center"/>
    </xf>
    <xf numFmtId="2" fontId="62" fillId="0" borderId="13" xfId="0" applyNumberFormat="1" applyFont="1" applyFill="1" applyBorder="1" applyAlignment="1">
      <alignment horizontal="center" vertical="center"/>
    </xf>
    <xf numFmtId="177" fontId="42" fillId="0" borderId="0" xfId="0" applyNumberFormat="1" applyFont="1" applyFill="1" applyBorder="1">
      <alignment vertical="center"/>
    </xf>
    <xf numFmtId="176" fontId="42" fillId="0" borderId="0" xfId="0" applyNumberFormat="1" applyFont="1" applyFill="1" applyBorder="1">
      <alignment vertical="center"/>
    </xf>
    <xf numFmtId="0" fontId="66" fillId="0" borderId="0" xfId="0" applyFont="1" applyBorder="1">
      <alignment vertical="center"/>
    </xf>
    <xf numFmtId="183" fontId="42" fillId="0" borderId="0" xfId="0" applyNumberFormat="1" applyFont="1" applyBorder="1">
      <alignment vertical="center"/>
    </xf>
    <xf numFmtId="0" fontId="23" fillId="3" borderId="13" xfId="0" applyFont="1" applyFill="1" applyBorder="1">
      <alignment vertical="center"/>
    </xf>
    <xf numFmtId="0" fontId="45" fillId="3" borderId="13" xfId="0" applyFont="1" applyFill="1" applyBorder="1">
      <alignment vertical="center"/>
    </xf>
    <xf numFmtId="0" fontId="60" fillId="0" borderId="0" xfId="0" applyFont="1" applyFill="1" applyBorder="1" applyAlignment="1">
      <alignment horizontal="right" vertical="center"/>
    </xf>
    <xf numFmtId="184" fontId="44" fillId="0" borderId="0" xfId="0" applyNumberFormat="1" applyFont="1" applyFill="1" applyBorder="1">
      <alignment vertical="center"/>
    </xf>
    <xf numFmtId="187" fontId="49" fillId="0" borderId="0" xfId="0" applyNumberFormat="1" applyFont="1" applyFill="1" applyBorder="1">
      <alignment vertical="center"/>
    </xf>
    <xf numFmtId="0" fontId="60" fillId="0" borderId="0" xfId="0" applyFont="1" applyFill="1" applyBorder="1">
      <alignment vertical="center"/>
    </xf>
    <xf numFmtId="178" fontId="64" fillId="0" borderId="4" xfId="0" applyNumberFormat="1" applyFont="1" applyFill="1" applyBorder="1">
      <alignment vertical="center"/>
    </xf>
    <xf numFmtId="180" fontId="46" fillId="7" borderId="8" xfId="0" applyNumberFormat="1" applyFont="1" applyFill="1" applyBorder="1">
      <alignment vertical="center"/>
    </xf>
    <xf numFmtId="178" fontId="22" fillId="0" borderId="13" xfId="0" applyNumberFormat="1" applyFont="1" applyBorder="1">
      <alignment vertical="center"/>
    </xf>
    <xf numFmtId="0" fontId="22" fillId="8" borderId="10" xfId="0" applyFont="1" applyFill="1" applyBorder="1" applyAlignment="1">
      <alignment horizontal="center" vertical="center"/>
    </xf>
    <xf numFmtId="0" fontId="72" fillId="0" borderId="0" xfId="0" quotePrefix="1" applyFont="1" applyFill="1">
      <alignment vertical="center"/>
    </xf>
    <xf numFmtId="0" fontId="72" fillId="0" borderId="0" xfId="0" quotePrefix="1" applyFont="1" applyAlignment="1">
      <alignment horizontal="right" vertical="center"/>
    </xf>
    <xf numFmtId="185" fontId="42" fillId="0" borderId="0" xfId="0" applyNumberFormat="1" applyFont="1" applyBorder="1">
      <alignment vertical="center"/>
    </xf>
    <xf numFmtId="0" fontId="22" fillId="0" borderId="4" xfId="10" applyFont="1" applyFill="1" applyBorder="1" applyAlignment="1">
      <alignment horizontal="center" vertical="center"/>
    </xf>
    <xf numFmtId="187" fontId="42" fillId="0" borderId="4" xfId="0" applyNumberFormat="1" applyFont="1" applyBorder="1">
      <alignment vertical="center"/>
    </xf>
    <xf numFmtId="187" fontId="42" fillId="0" borderId="6" xfId="0" applyNumberFormat="1" applyFont="1" applyBorder="1">
      <alignment vertical="center"/>
    </xf>
    <xf numFmtId="187" fontId="42" fillId="0" borderId="8" xfId="0" applyNumberFormat="1" applyFont="1" applyBorder="1">
      <alignment vertical="center"/>
    </xf>
    <xf numFmtId="187" fontId="22" fillId="0" borderId="4" xfId="0" applyNumberFormat="1" applyFont="1" applyBorder="1">
      <alignment vertical="center"/>
    </xf>
    <xf numFmtId="187" fontId="22" fillId="0" borderId="6" xfId="0" applyNumberFormat="1" applyFont="1" applyBorder="1">
      <alignment vertical="center"/>
    </xf>
    <xf numFmtId="187" fontId="49" fillId="8" borderId="8" xfId="0" applyNumberFormat="1" applyFont="1" applyFill="1" applyBorder="1">
      <alignment vertical="center"/>
    </xf>
    <xf numFmtId="176" fontId="42" fillId="8" borderId="0" xfId="0" applyNumberFormat="1" applyFont="1" applyFill="1" applyBorder="1">
      <alignment vertical="center"/>
    </xf>
    <xf numFmtId="187" fontId="42" fillId="8" borderId="6" xfId="0" applyNumberFormat="1" applyFont="1" applyFill="1" applyBorder="1">
      <alignment vertical="center"/>
    </xf>
    <xf numFmtId="187" fontId="49" fillId="0" borderId="0" xfId="0" applyNumberFormat="1" applyFont="1" applyFill="1" applyBorder="1" applyAlignment="1">
      <alignment horizontal="center" vertical="center"/>
    </xf>
    <xf numFmtId="184" fontId="43" fillId="0" borderId="0" xfId="0" applyNumberFormat="1" applyFont="1">
      <alignment vertical="center"/>
    </xf>
    <xf numFmtId="0" fontId="60" fillId="0" borderId="0" xfId="0" applyFont="1" applyAlignment="1">
      <alignment horizontal="left" vertical="center"/>
    </xf>
    <xf numFmtId="178" fontId="64" fillId="0" borderId="0" xfId="0" applyNumberFormat="1" applyFont="1" applyFill="1" applyBorder="1">
      <alignment vertical="center"/>
    </xf>
    <xf numFmtId="0" fontId="72" fillId="0" borderId="0" xfId="0" quotePrefix="1" applyFont="1" applyFill="1" applyBorder="1">
      <alignment vertical="center"/>
    </xf>
    <xf numFmtId="0" fontId="58" fillId="0" borderId="0" xfId="0" applyFont="1" applyBorder="1">
      <alignment vertical="center"/>
    </xf>
    <xf numFmtId="0" fontId="42" fillId="0" borderId="0" xfId="0" applyFont="1" applyFill="1" applyBorder="1">
      <alignment vertical="center"/>
    </xf>
    <xf numFmtId="184" fontId="43" fillId="0" borderId="0" xfId="0" applyNumberFormat="1" applyFont="1" applyFill="1" applyBorder="1">
      <alignment vertical="center"/>
    </xf>
    <xf numFmtId="191" fontId="22" fillId="0" borderId="0" xfId="0" applyNumberFormat="1" applyFont="1" applyFill="1" applyBorder="1">
      <alignment vertical="center"/>
    </xf>
    <xf numFmtId="189" fontId="22" fillId="0" borderId="0" xfId="0" applyNumberFormat="1" applyFont="1" applyFill="1" applyBorder="1">
      <alignment vertical="center"/>
    </xf>
    <xf numFmtId="188" fontId="65" fillId="0" borderId="0" xfId="0" applyNumberFormat="1" applyFont="1" applyFill="1" applyBorder="1">
      <alignment vertical="center"/>
    </xf>
    <xf numFmtId="190" fontId="22" fillId="0" borderId="0" xfId="0" applyNumberFormat="1" applyFont="1" applyFill="1" applyBorder="1">
      <alignment vertical="center"/>
    </xf>
    <xf numFmtId="192" fontId="22" fillId="0" borderId="0" xfId="0" applyNumberFormat="1" applyFont="1" applyFill="1" applyBorder="1">
      <alignment vertical="center"/>
    </xf>
    <xf numFmtId="180" fontId="46" fillId="0" borderId="0" xfId="0" applyNumberFormat="1" applyFont="1" applyFill="1" applyBorder="1">
      <alignment vertical="center"/>
    </xf>
    <xf numFmtId="0" fontId="61" fillId="0" borderId="0" xfId="0" applyFont="1" applyBorder="1">
      <alignment vertical="center"/>
    </xf>
    <xf numFmtId="176" fontId="42" fillId="0" borderId="2" xfId="0" applyNumberFormat="1" applyFont="1" applyBorder="1">
      <alignment vertical="center"/>
    </xf>
    <xf numFmtId="176" fontId="42" fillId="0" borderId="5" xfId="0" applyNumberFormat="1" applyFont="1" applyBorder="1">
      <alignment vertical="center"/>
    </xf>
    <xf numFmtId="176" fontId="42" fillId="0" borderId="14" xfId="0" applyNumberFormat="1" applyFont="1" applyBorder="1">
      <alignment vertical="center"/>
    </xf>
    <xf numFmtId="176" fontId="22" fillId="0" borderId="2" xfId="0" applyNumberFormat="1" applyFont="1" applyBorder="1">
      <alignment vertical="center"/>
    </xf>
    <xf numFmtId="176" fontId="22" fillId="0" borderId="5" xfId="0" applyNumberFormat="1" applyFont="1" applyBorder="1">
      <alignment vertical="center"/>
    </xf>
    <xf numFmtId="2" fontId="42" fillId="0" borderId="4" xfId="0" applyNumberFormat="1" applyFont="1" applyBorder="1" applyAlignment="1">
      <alignment horizontal="center" vertical="center"/>
    </xf>
    <xf numFmtId="180" fontId="23" fillId="3" borderId="14" xfId="0" applyNumberFormat="1" applyFont="1" applyFill="1" applyBorder="1">
      <alignment vertical="center"/>
    </xf>
    <xf numFmtId="2" fontId="23" fillId="3" borderId="8" xfId="0" applyNumberFormat="1" applyFont="1" applyFill="1" applyBorder="1" applyAlignment="1">
      <alignment horizontal="center" vertical="center"/>
    </xf>
    <xf numFmtId="2" fontId="22" fillId="7" borderId="6" xfId="0" applyNumberFormat="1" applyFont="1" applyFill="1" applyBorder="1" applyAlignment="1">
      <alignment horizontal="center" vertical="center"/>
    </xf>
    <xf numFmtId="2" fontId="23" fillId="7" borderId="8" xfId="0" applyNumberFormat="1" applyFont="1" applyFill="1" applyBorder="1" applyAlignment="1">
      <alignment horizontal="center" vertical="center"/>
    </xf>
    <xf numFmtId="0" fontId="69" fillId="0" borderId="0" xfId="0" quotePrefix="1" applyFont="1" applyBorder="1" applyAlignment="1">
      <alignment horizontal="left" vertical="center"/>
    </xf>
    <xf numFmtId="0" fontId="22" fillId="0" borderId="6" xfId="0" applyFont="1" applyFill="1" applyBorder="1">
      <alignment vertical="center"/>
    </xf>
    <xf numFmtId="2" fontId="22" fillId="0" borderId="6" xfId="0" applyNumberFormat="1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right" vertical="center"/>
    </xf>
    <xf numFmtId="0" fontId="64" fillId="0" borderId="8" xfId="0" applyFont="1" applyFill="1" applyBorder="1">
      <alignment vertical="center"/>
    </xf>
    <xf numFmtId="0" fontId="22" fillId="7" borderId="5" xfId="0" applyFont="1" applyFill="1" applyBorder="1" applyAlignment="1">
      <alignment horizontal="center" vertical="center"/>
    </xf>
    <xf numFmtId="180" fontId="23" fillId="7" borderId="14" xfId="0" applyNumberFormat="1" applyFont="1" applyFill="1" applyBorder="1">
      <alignment vertical="center"/>
    </xf>
    <xf numFmtId="0" fontId="22" fillId="0" borderId="2" xfId="0" applyFont="1" applyFill="1" applyBorder="1">
      <alignment vertical="center"/>
    </xf>
    <xf numFmtId="0" fontId="22" fillId="0" borderId="4" xfId="0" applyFont="1" applyFill="1" applyBorder="1">
      <alignment vertical="center"/>
    </xf>
    <xf numFmtId="0" fontId="22" fillId="7" borderId="2" xfId="0" applyFont="1" applyFill="1" applyBorder="1" applyAlignment="1">
      <alignment horizontal="center" vertical="center"/>
    </xf>
    <xf numFmtId="2" fontId="22" fillId="0" borderId="4" xfId="0" applyNumberFormat="1" applyFont="1" applyFill="1" applyBorder="1" applyAlignment="1">
      <alignment horizontal="center" vertical="center"/>
    </xf>
    <xf numFmtId="0" fontId="69" fillId="0" borderId="0" xfId="0" quotePrefix="1" applyFont="1" applyFill="1" applyBorder="1" applyAlignment="1">
      <alignment horizontal="left" vertical="center"/>
    </xf>
    <xf numFmtId="180" fontId="25" fillId="0" borderId="7" xfId="0" applyNumberFormat="1" applyFont="1" applyFill="1" applyBorder="1" applyAlignment="1">
      <alignment horizontal="center" vertical="center"/>
    </xf>
    <xf numFmtId="11" fontId="22" fillId="0" borderId="0" xfId="10" applyNumberFormat="1" applyFont="1" applyFill="1" applyBorder="1" applyAlignment="1">
      <alignment horizontal="right" vertical="center"/>
    </xf>
    <xf numFmtId="178" fontId="25" fillId="0" borderId="0" xfId="0" applyNumberFormat="1" applyFont="1" applyFill="1" applyBorder="1">
      <alignment vertical="center"/>
    </xf>
    <xf numFmtId="180" fontId="25" fillId="0" borderId="7" xfId="0" quotePrefix="1" applyNumberFormat="1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60" fillId="0" borderId="0" xfId="0" applyFont="1" applyFill="1" applyAlignment="1">
      <alignment horizontal="right" vertical="center"/>
    </xf>
    <xf numFmtId="180" fontId="25" fillId="0" borderId="0" xfId="0" quotePrefix="1" applyNumberFormat="1" applyFont="1" applyFill="1" applyBorder="1" applyAlignment="1">
      <alignment horizontal="center" vertical="center"/>
    </xf>
    <xf numFmtId="187" fontId="77" fillId="0" borderId="8" xfId="0" applyNumberFormat="1" applyFont="1" applyFill="1" applyBorder="1">
      <alignment vertical="center"/>
    </xf>
    <xf numFmtId="188" fontId="65" fillId="12" borderId="1" xfId="0" applyNumberFormat="1" applyFont="1" applyFill="1" applyBorder="1">
      <alignment vertical="center"/>
    </xf>
    <xf numFmtId="176" fontId="42" fillId="12" borderId="5" xfId="0" applyNumberFormat="1" applyFont="1" applyFill="1" applyBorder="1">
      <alignment vertical="center"/>
    </xf>
    <xf numFmtId="176" fontId="22" fillId="12" borderId="0" xfId="0" applyNumberFormat="1" applyFont="1" applyFill="1" applyBorder="1" applyAlignment="1">
      <alignment horizontal="center" vertical="center"/>
    </xf>
    <xf numFmtId="187" fontId="42" fillId="12" borderId="6" xfId="0" applyNumberFormat="1" applyFont="1" applyFill="1" applyBorder="1">
      <alignment vertical="center"/>
    </xf>
    <xf numFmtId="187" fontId="88" fillId="8" borderId="8" xfId="0" applyNumberFormat="1" applyFont="1" applyFill="1" applyBorder="1">
      <alignment vertical="center"/>
    </xf>
    <xf numFmtId="176" fontId="88" fillId="8" borderId="7" xfId="0" applyNumberFormat="1" applyFont="1" applyFill="1" applyBorder="1">
      <alignment vertical="center"/>
    </xf>
    <xf numFmtId="11" fontId="64" fillId="0" borderId="11" xfId="0" quotePrefix="1" applyNumberFormat="1" applyFont="1" applyFill="1" applyBorder="1">
      <alignment vertical="center"/>
    </xf>
    <xf numFmtId="178" fontId="64" fillId="0" borderId="11" xfId="0" applyNumberFormat="1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60" fillId="0" borderId="0" xfId="0" quotePrefix="1" applyFont="1" applyFill="1" applyBorder="1" applyAlignment="1">
      <alignment horizontal="center" vertical="center"/>
    </xf>
    <xf numFmtId="187" fontId="49" fillId="0" borderId="11" xfId="0" applyNumberFormat="1" applyFont="1" applyFill="1" applyBorder="1">
      <alignment vertical="center"/>
    </xf>
    <xf numFmtId="187" fontId="66" fillId="8" borderId="8" xfId="0" applyNumberFormat="1" applyFont="1" applyFill="1" applyBorder="1">
      <alignment vertical="center"/>
    </xf>
    <xf numFmtId="0" fontId="22" fillId="0" borderId="22" xfId="0" applyFont="1" applyFill="1" applyBorder="1">
      <alignment vertical="center"/>
    </xf>
    <xf numFmtId="0" fontId="22" fillId="0" borderId="0" xfId="0" quotePrefix="1" applyFont="1" applyAlignment="1">
      <alignment horizontal="left" vertical="center"/>
    </xf>
    <xf numFmtId="176" fontId="22" fillId="0" borderId="30" xfId="0" applyNumberFormat="1" applyFont="1" applyFill="1" applyBorder="1">
      <alignment vertical="center"/>
    </xf>
    <xf numFmtId="0" fontId="22" fillId="9" borderId="1" xfId="0" applyFont="1" applyFill="1" applyBorder="1" applyAlignment="1">
      <alignment horizontal="center" vertical="center"/>
    </xf>
    <xf numFmtId="1" fontId="45" fillId="3" borderId="11" xfId="0" applyNumberFormat="1" applyFont="1" applyFill="1" applyBorder="1">
      <alignment vertical="center"/>
    </xf>
    <xf numFmtId="0" fontId="25" fillId="13" borderId="0" xfId="0" applyFont="1" applyFill="1" applyAlignment="1">
      <alignment horizontal="center" vertical="center"/>
    </xf>
    <xf numFmtId="180" fontId="22" fillId="0" borderId="6" xfId="0" applyNumberFormat="1" applyFont="1" applyFill="1" applyBorder="1">
      <alignment vertical="center"/>
    </xf>
    <xf numFmtId="180" fontId="22" fillId="0" borderId="8" xfId="0" applyNumberFormat="1" applyFont="1" applyFill="1" applyBorder="1">
      <alignment vertical="center"/>
    </xf>
    <xf numFmtId="181" fontId="22" fillId="0" borderId="9" xfId="0" applyNumberFormat="1" applyFont="1" applyBorder="1" applyAlignment="1">
      <alignment horizontal="center" vertical="center"/>
    </xf>
    <xf numFmtId="181" fontId="42" fillId="0" borderId="10" xfId="0" applyNumberFormat="1" applyFont="1" applyBorder="1" applyAlignment="1">
      <alignment horizontal="center" vertical="center"/>
    </xf>
    <xf numFmtId="208" fontId="42" fillId="0" borderId="9" xfId="0" applyNumberFormat="1" applyFont="1" applyBorder="1">
      <alignment vertical="center"/>
    </xf>
    <xf numFmtId="181" fontId="42" fillId="0" borderId="10" xfId="0" applyNumberFormat="1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quotePrefix="1" applyFont="1" applyBorder="1">
      <alignment vertical="center"/>
    </xf>
    <xf numFmtId="0" fontId="89" fillId="0" borderId="0" xfId="0" applyFont="1" applyBorder="1" applyAlignment="1">
      <alignment horizontal="right" vertical="center"/>
    </xf>
    <xf numFmtId="0" fontId="89" fillId="0" borderId="0" xfId="0" applyFont="1" applyFill="1" applyBorder="1" applyAlignment="1">
      <alignment horizontal="left" vertical="center"/>
    </xf>
    <xf numFmtId="0" fontId="90" fillId="0" borderId="0" xfId="0" applyFont="1">
      <alignment vertical="center"/>
    </xf>
    <xf numFmtId="0" fontId="91" fillId="0" borderId="0" xfId="0" applyFont="1">
      <alignment vertical="center"/>
    </xf>
    <xf numFmtId="2" fontId="90" fillId="0" borderId="0" xfId="0" applyNumberFormat="1" applyFont="1" applyBorder="1">
      <alignment vertical="center"/>
    </xf>
    <xf numFmtId="0" fontId="0" fillId="0" borderId="0" xfId="0" quotePrefix="1" applyFont="1" applyBorder="1" applyAlignment="1">
      <alignment horizontal="left" vertical="center"/>
    </xf>
    <xf numFmtId="0" fontId="9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93" fillId="0" borderId="0" xfId="0" applyFont="1">
      <alignment vertical="center"/>
    </xf>
    <xf numFmtId="180" fontId="46" fillId="7" borderId="7" xfId="0" applyNumberFormat="1" applyFont="1" applyFill="1" applyBorder="1">
      <alignment vertical="center"/>
    </xf>
    <xf numFmtId="0" fontId="22" fillId="8" borderId="14" xfId="0" applyFont="1" applyFill="1" applyBorder="1" applyAlignment="1">
      <alignment horizontal="center" vertical="center"/>
    </xf>
    <xf numFmtId="178" fontId="22" fillId="0" borderId="9" xfId="0" applyNumberFormat="1" applyFont="1" applyBorder="1">
      <alignment vertical="center"/>
    </xf>
    <xf numFmtId="187" fontId="66" fillId="8" borderId="7" xfId="0" applyNumberFormat="1" applyFont="1" applyFill="1" applyBorder="1">
      <alignment vertical="center"/>
    </xf>
    <xf numFmtId="187" fontId="53" fillId="0" borderId="9" xfId="0" applyNumberFormat="1" applyFont="1" applyBorder="1">
      <alignment vertical="center"/>
    </xf>
    <xf numFmtId="187" fontId="22" fillId="0" borderId="5" xfId="0" applyNumberFormat="1" applyFont="1" applyBorder="1">
      <alignment vertical="center"/>
    </xf>
    <xf numFmtId="187" fontId="49" fillId="8" borderId="14" xfId="0" applyNumberFormat="1" applyFont="1" applyFill="1" applyBorder="1">
      <alignment vertical="center"/>
    </xf>
    <xf numFmtId="178" fontId="22" fillId="0" borderId="11" xfId="0" applyNumberFormat="1" applyFont="1" applyBorder="1">
      <alignment vertical="center"/>
    </xf>
    <xf numFmtId="0" fontId="93" fillId="0" borderId="0" xfId="0" quotePrefix="1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quotePrefix="1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1" fontId="94" fillId="0" borderId="0" xfId="0" applyNumberFormat="1" applyFont="1">
      <alignment vertical="center"/>
    </xf>
    <xf numFmtId="0" fontId="92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74" fillId="0" borderId="2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7" xfId="0" applyFont="1" applyBorder="1">
      <alignment vertical="center"/>
    </xf>
    <xf numFmtId="0" fontId="60" fillId="0" borderId="0" xfId="0" applyFont="1" applyFill="1" applyBorder="1" applyAlignment="1">
      <alignment horizontal="left" vertical="center"/>
    </xf>
    <xf numFmtId="0" fontId="95" fillId="0" borderId="0" xfId="0" applyFont="1">
      <alignment vertical="center"/>
    </xf>
    <xf numFmtId="0" fontId="22" fillId="0" borderId="0" xfId="0" quotePrefix="1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91" fillId="0" borderId="0" xfId="0" applyFont="1" applyFill="1">
      <alignment vertical="center"/>
    </xf>
    <xf numFmtId="1" fontId="22" fillId="0" borderId="4" xfId="0" applyNumberFormat="1" applyFont="1" applyFill="1" applyBorder="1" applyAlignment="1">
      <alignment horizontal="center" vertical="center"/>
    </xf>
    <xf numFmtId="0" fontId="79" fillId="0" borderId="8" xfId="0" applyFont="1" applyFill="1" applyBorder="1" applyAlignment="1">
      <alignment horizontal="center" vertical="center"/>
    </xf>
    <xf numFmtId="1" fontId="42" fillId="0" borderId="4" xfId="0" applyNumberFormat="1" applyFont="1" applyBorder="1">
      <alignment vertical="center"/>
    </xf>
    <xf numFmtId="0" fontId="22" fillId="0" borderId="0" xfId="0" quotePrefix="1" applyFont="1" applyFill="1">
      <alignment vertical="center"/>
    </xf>
    <xf numFmtId="0" fontId="74" fillId="0" borderId="0" xfId="0" quotePrefix="1" applyFont="1" applyFill="1">
      <alignment vertical="center"/>
    </xf>
    <xf numFmtId="180" fontId="42" fillId="0" borderId="6" xfId="0" applyNumberFormat="1" applyFont="1" applyFill="1" applyBorder="1">
      <alignment vertical="center"/>
    </xf>
    <xf numFmtId="1" fontId="25" fillId="14" borderId="8" xfId="0" applyNumberFormat="1" applyFont="1" applyFill="1" applyBorder="1" applyAlignment="1">
      <alignment horizontal="center" vertical="center"/>
    </xf>
    <xf numFmtId="0" fontId="72" fillId="0" borderId="0" xfId="0" quotePrefix="1" applyFont="1">
      <alignment vertical="center"/>
    </xf>
    <xf numFmtId="0" fontId="22" fillId="0" borderId="2" xfId="0" quotePrefix="1" applyFont="1" applyBorder="1" applyAlignment="1">
      <alignment horizontal="right" vertical="center"/>
    </xf>
    <xf numFmtId="0" fontId="22" fillId="0" borderId="5" xfId="0" quotePrefix="1" applyFont="1" applyBorder="1" applyAlignment="1">
      <alignment horizontal="right" vertical="center"/>
    </xf>
    <xf numFmtId="1" fontId="25" fillId="14" borderId="6" xfId="0" applyNumberFormat="1" applyFont="1" applyFill="1" applyBorder="1" applyAlignment="1">
      <alignment horizontal="center" vertical="center"/>
    </xf>
    <xf numFmtId="0" fontId="22" fillId="0" borderId="14" xfId="0" quotePrefix="1" applyFont="1" applyBorder="1" applyAlignment="1">
      <alignment horizontal="right" vertical="center"/>
    </xf>
    <xf numFmtId="0" fontId="42" fillId="0" borderId="8" xfId="0" applyFont="1" applyBorder="1">
      <alignment vertical="center"/>
    </xf>
    <xf numFmtId="181" fontId="42" fillId="0" borderId="23" xfId="0" applyNumberFormat="1" applyFont="1" applyFill="1" applyBorder="1" applyAlignment="1">
      <alignment horizontal="right" vertical="center"/>
    </xf>
    <xf numFmtId="2" fontId="25" fillId="0" borderId="0" xfId="0" applyNumberFormat="1" applyFont="1" applyBorder="1" applyAlignment="1">
      <alignment horizontal="left" vertical="center"/>
    </xf>
    <xf numFmtId="0" fontId="22" fillId="0" borderId="33" xfId="0" applyFont="1" applyBorder="1" applyAlignment="1">
      <alignment horizontal="right" vertical="center"/>
    </xf>
    <xf numFmtId="2" fontId="22" fillId="0" borderId="36" xfId="0" applyNumberFormat="1" applyFont="1" applyFill="1" applyBorder="1">
      <alignment vertical="center"/>
    </xf>
    <xf numFmtId="2" fontId="22" fillId="0" borderId="29" xfId="0" applyNumberFormat="1" applyFont="1" applyFill="1" applyBorder="1">
      <alignment vertical="center"/>
    </xf>
    <xf numFmtId="0" fontId="72" fillId="0" borderId="0" xfId="0" quotePrefix="1" applyFont="1" applyFill="1" applyAlignment="1">
      <alignment horizontal="left" vertical="center"/>
    </xf>
    <xf numFmtId="0" fontId="49" fillId="0" borderId="0" xfId="0" quotePrefix="1" applyFont="1" applyFill="1" applyAlignment="1">
      <alignment horizontal="left" vertical="center"/>
    </xf>
    <xf numFmtId="200" fontId="82" fillId="0" borderId="9" xfId="0" applyNumberFormat="1" applyFont="1" applyBorder="1">
      <alignment vertical="center"/>
    </xf>
    <xf numFmtId="200" fontId="82" fillId="0" borderId="10" xfId="0" applyNumberFormat="1" applyFont="1" applyBorder="1">
      <alignment vertical="center"/>
    </xf>
    <xf numFmtId="0" fontId="83" fillId="0" borderId="0" xfId="0" applyFont="1" applyAlignment="1">
      <alignment horizontal="center" vertical="center"/>
    </xf>
    <xf numFmtId="2" fontId="22" fillId="0" borderId="1" xfId="0" applyNumberFormat="1" applyFont="1" applyFill="1" applyBorder="1">
      <alignment vertical="center"/>
    </xf>
    <xf numFmtId="0" fontId="22" fillId="0" borderId="34" xfId="0" applyFont="1" applyBorder="1">
      <alignment vertical="center"/>
    </xf>
    <xf numFmtId="0" fontId="22" fillId="0" borderId="34" xfId="0" applyFont="1" applyFill="1" applyBorder="1" applyAlignment="1">
      <alignment horizontal="center" vertical="center"/>
    </xf>
    <xf numFmtId="176" fontId="22" fillId="0" borderId="20" xfId="0" applyNumberFormat="1" applyFont="1" applyFill="1" applyBorder="1">
      <alignment vertical="center"/>
    </xf>
    <xf numFmtId="0" fontId="22" fillId="6" borderId="34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180" fontId="51" fillId="9" borderId="6" xfId="0" applyNumberFormat="1" applyFont="1" applyFill="1" applyBorder="1">
      <alignment vertical="center"/>
    </xf>
    <xf numFmtId="0" fontId="31" fillId="0" borderId="6" xfId="0" applyFont="1" applyFill="1" applyBorder="1" applyAlignment="1">
      <alignment horizontal="center" vertical="center"/>
    </xf>
    <xf numFmtId="180" fontId="51" fillId="9" borderId="8" xfId="0" applyNumberFormat="1" applyFont="1" applyFill="1" applyBorder="1">
      <alignment vertical="center"/>
    </xf>
    <xf numFmtId="204" fontId="42" fillId="0" borderId="6" xfId="0" applyNumberFormat="1" applyFont="1" applyBorder="1" applyAlignment="1">
      <alignment horizontal="left" vertical="center"/>
    </xf>
    <xf numFmtId="180" fontId="22" fillId="0" borderId="33" xfId="0" applyNumberFormat="1" applyFont="1" applyFill="1" applyBorder="1" applyAlignment="1">
      <alignment horizontal="center" vertical="center"/>
    </xf>
    <xf numFmtId="0" fontId="42" fillId="0" borderId="5" xfId="0" applyFont="1" applyBorder="1" applyAlignment="1">
      <alignment horizontal="right" vertical="center"/>
    </xf>
    <xf numFmtId="0" fontId="25" fillId="4" borderId="5" xfId="0" applyFont="1" applyFill="1" applyBorder="1" applyAlignment="1">
      <alignment horizontal="center" vertical="center"/>
    </xf>
    <xf numFmtId="180" fontId="67" fillId="4" borderId="27" xfId="0" applyNumberFormat="1" applyFont="1" applyFill="1" applyBorder="1">
      <alignment vertical="center"/>
    </xf>
    <xf numFmtId="2" fontId="22" fillId="0" borderId="1" xfId="0" applyNumberFormat="1" applyFont="1" applyBorder="1">
      <alignment vertical="center"/>
    </xf>
    <xf numFmtId="0" fontId="22" fillId="0" borderId="32" xfId="0" applyFont="1" applyBorder="1">
      <alignment vertical="center"/>
    </xf>
    <xf numFmtId="0" fontId="22" fillId="0" borderId="34" xfId="0" applyFont="1" applyBorder="1" applyAlignment="1">
      <alignment horizontal="center" vertical="center"/>
    </xf>
    <xf numFmtId="2" fontId="78" fillId="0" borderId="9" xfId="0" applyNumberFormat="1" applyFont="1" applyBorder="1" applyAlignment="1">
      <alignment horizontal="center" vertical="center"/>
    </xf>
    <xf numFmtId="0" fontId="78" fillId="0" borderId="0" xfId="0" applyFont="1" applyAlignment="1">
      <alignment horizontal="left" vertical="center"/>
    </xf>
    <xf numFmtId="0" fontId="45" fillId="10" borderId="6" xfId="0" applyFont="1" applyFill="1" applyBorder="1">
      <alignment vertical="center"/>
    </xf>
    <xf numFmtId="0" fontId="96" fillId="10" borderId="6" xfId="0" applyFont="1" applyFill="1" applyBorder="1">
      <alignment vertical="center"/>
    </xf>
    <xf numFmtId="0" fontId="25" fillId="10" borderId="6" xfId="0" applyFont="1" applyFill="1" applyBorder="1" applyAlignment="1">
      <alignment horizontal="center" vertical="center"/>
    </xf>
    <xf numFmtId="0" fontId="22" fillId="10" borderId="23" xfId="0" applyFont="1" applyFill="1" applyBorder="1">
      <alignment vertical="center"/>
    </xf>
    <xf numFmtId="0" fontId="96" fillId="10" borderId="26" xfId="0" applyFont="1" applyFill="1" applyBorder="1">
      <alignment vertical="center"/>
    </xf>
    <xf numFmtId="0" fontId="74" fillId="10" borderId="0" xfId="0" applyFont="1" applyFill="1" applyBorder="1">
      <alignment vertical="center"/>
    </xf>
    <xf numFmtId="2" fontId="22" fillId="3" borderId="4" xfId="0" applyNumberFormat="1" applyFont="1" applyFill="1" applyBorder="1">
      <alignment vertical="center"/>
    </xf>
    <xf numFmtId="2" fontId="22" fillId="3" borderId="8" xfId="0" applyNumberFormat="1" applyFont="1" applyFill="1" applyBorder="1">
      <alignment vertical="center"/>
    </xf>
    <xf numFmtId="184" fontId="22" fillId="6" borderId="6" xfId="0" applyNumberFormat="1" applyFont="1" applyFill="1" applyBorder="1">
      <alignment vertical="center"/>
    </xf>
    <xf numFmtId="0" fontId="22" fillId="6" borderId="0" xfId="0" quotePrefix="1" applyFont="1" applyFill="1">
      <alignment vertical="center"/>
    </xf>
    <xf numFmtId="0" fontId="22" fillId="6" borderId="5" xfId="0" quotePrefix="1" applyFont="1" applyFill="1" applyBorder="1" applyAlignment="1">
      <alignment horizontal="right" vertical="center"/>
    </xf>
    <xf numFmtId="0" fontId="22" fillId="7" borderId="14" xfId="0" quotePrefix="1" applyFont="1" applyFill="1" applyBorder="1" applyAlignment="1">
      <alignment horizontal="right" vertical="center"/>
    </xf>
    <xf numFmtId="0" fontId="22" fillId="0" borderId="17" xfId="0" quotePrefix="1" applyFont="1" applyBorder="1" applyAlignment="1">
      <alignment horizontal="center" vertical="center"/>
    </xf>
    <xf numFmtId="181" fontId="91" fillId="0" borderId="37" xfId="0" applyNumberFormat="1" applyFont="1" applyBorder="1" applyAlignment="1">
      <alignment horizontal="left" vertical="center"/>
    </xf>
    <xf numFmtId="176" fontId="91" fillId="0" borderId="36" xfId="0" applyNumberFormat="1" applyFont="1" applyFill="1" applyBorder="1" applyAlignment="1">
      <alignment horizontal="center" vertical="center"/>
    </xf>
    <xf numFmtId="176" fontId="91" fillId="0" borderId="18" xfId="0" applyNumberFormat="1" applyFont="1" applyFill="1" applyBorder="1" applyAlignment="1">
      <alignment horizontal="center" vertical="center"/>
    </xf>
    <xf numFmtId="0" fontId="91" fillId="0" borderId="0" xfId="0" quotePrefix="1" applyFont="1" applyFill="1">
      <alignment vertical="center"/>
    </xf>
    <xf numFmtId="0" fontId="91" fillId="0" borderId="5" xfId="0" applyFont="1" applyBorder="1" applyAlignment="1">
      <alignment horizontal="right" vertical="center"/>
    </xf>
    <xf numFmtId="176" fontId="46" fillId="11" borderId="14" xfId="0" applyNumberFormat="1" applyFont="1" applyFill="1" applyBorder="1" applyAlignment="1">
      <alignment horizontal="right" vertical="center"/>
    </xf>
    <xf numFmtId="180" fontId="42" fillId="0" borderId="8" xfId="0" applyNumberFormat="1" applyFont="1" applyFill="1" applyBorder="1">
      <alignment vertical="center"/>
    </xf>
    <xf numFmtId="176" fontId="0" fillId="9" borderId="1" xfId="0" applyNumberFormat="1" applyFont="1" applyFill="1" applyBorder="1">
      <alignment vertical="center"/>
    </xf>
    <xf numFmtId="176" fontId="22" fillId="0" borderId="24" xfId="0" applyNumberFormat="1" applyFont="1" applyFill="1" applyBorder="1">
      <alignment vertical="center"/>
    </xf>
    <xf numFmtId="200" fontId="22" fillId="0" borderId="0" xfId="0" applyNumberFormat="1" applyFont="1" applyFill="1" applyBorder="1" applyAlignment="1">
      <alignment horizontal="right" vertical="center"/>
    </xf>
    <xf numFmtId="0" fontId="22" fillId="5" borderId="0" xfId="0" applyFont="1" applyFill="1">
      <alignment vertical="center"/>
    </xf>
    <xf numFmtId="0" fontId="22" fillId="6" borderId="0" xfId="0" applyFont="1" applyFill="1">
      <alignment vertical="center"/>
    </xf>
    <xf numFmtId="2" fontId="22" fillId="5" borderId="6" xfId="0" applyNumberFormat="1" applyFont="1" applyFill="1" applyBorder="1">
      <alignment vertical="center"/>
    </xf>
    <xf numFmtId="0" fontId="25" fillId="5" borderId="0" xfId="0" quotePrefix="1" applyFont="1" applyFill="1">
      <alignment vertical="center"/>
    </xf>
    <xf numFmtId="0" fontId="25" fillId="6" borderId="0" xfId="0" quotePrefix="1" applyFont="1" applyFill="1">
      <alignment vertical="center"/>
    </xf>
    <xf numFmtId="0" fontId="22" fillId="7" borderId="11" xfId="0" applyFont="1" applyFill="1" applyBorder="1" applyAlignment="1">
      <alignment horizontal="right" vertical="center"/>
    </xf>
    <xf numFmtId="200" fontId="42" fillId="0" borderId="7" xfId="0" applyNumberFormat="1" applyFont="1" applyFill="1" applyBorder="1">
      <alignment vertical="center"/>
    </xf>
    <xf numFmtId="199" fontId="42" fillId="0" borderId="7" xfId="0" applyNumberFormat="1" applyFont="1" applyFill="1" applyBorder="1">
      <alignment vertical="center"/>
    </xf>
    <xf numFmtId="199" fontId="22" fillId="0" borderId="7" xfId="0" applyNumberFormat="1" applyFont="1" applyFill="1" applyBorder="1">
      <alignment vertical="center"/>
    </xf>
    <xf numFmtId="200" fontId="22" fillId="0" borderId="7" xfId="0" applyNumberFormat="1" applyFont="1" applyFill="1" applyBorder="1">
      <alignment vertical="center"/>
    </xf>
    <xf numFmtId="200" fontId="22" fillId="9" borderId="3" xfId="0" applyNumberFormat="1" applyFont="1" applyFill="1" applyBorder="1">
      <alignment vertical="center"/>
    </xf>
    <xf numFmtId="199" fontId="22" fillId="9" borderId="3" xfId="0" applyNumberFormat="1" applyFont="1" applyFill="1" applyBorder="1">
      <alignment vertical="center"/>
    </xf>
    <xf numFmtId="200" fontId="25" fillId="7" borderId="13" xfId="0" applyNumberFormat="1" applyFont="1" applyFill="1" applyBorder="1">
      <alignment vertical="center"/>
    </xf>
    <xf numFmtId="2" fontId="80" fillId="10" borderId="0" xfId="0" applyNumberFormat="1" applyFont="1" applyFill="1" applyBorder="1">
      <alignment vertical="center"/>
    </xf>
    <xf numFmtId="2" fontId="80" fillId="10" borderId="0" xfId="0" applyNumberFormat="1" applyFont="1" applyFill="1" applyBorder="1" applyAlignment="1">
      <alignment horizontal="center" vertical="center"/>
    </xf>
    <xf numFmtId="178" fontId="45" fillId="10" borderId="5" xfId="0" applyNumberFormat="1" applyFont="1" applyFill="1" applyBorder="1">
      <alignment vertical="center"/>
    </xf>
    <xf numFmtId="2" fontId="45" fillId="10" borderId="0" xfId="0" applyNumberFormat="1" applyFont="1" applyFill="1" applyBorder="1" applyAlignment="1">
      <alignment horizontal="center" vertical="center"/>
    </xf>
    <xf numFmtId="0" fontId="23" fillId="10" borderId="0" xfId="0" applyFont="1" applyFill="1" applyAlignment="1">
      <alignment horizontal="center" vertical="center"/>
    </xf>
    <xf numFmtId="0" fontId="95" fillId="0" borderId="0" xfId="0" quotePrefix="1" applyFont="1">
      <alignment vertical="center"/>
    </xf>
    <xf numFmtId="0" fontId="60" fillId="10" borderId="0" xfId="0" quotePrefix="1" applyFont="1" applyFill="1" applyAlignment="1">
      <alignment horizontal="left" vertical="center"/>
    </xf>
    <xf numFmtId="0" fontId="31" fillId="0" borderId="9" xfId="0" applyFont="1" applyBorder="1" applyAlignment="1">
      <alignment horizontal="right" vertical="center"/>
    </xf>
    <xf numFmtId="176" fontId="46" fillId="11" borderId="5" xfId="0" applyNumberFormat="1" applyFont="1" applyFill="1" applyBorder="1" applyAlignment="1">
      <alignment horizontal="right" vertical="center"/>
    </xf>
    <xf numFmtId="2" fontId="18" fillId="7" borderId="0" xfId="0" applyNumberFormat="1" applyFont="1" applyFill="1" applyBorder="1" applyAlignment="1">
      <alignment horizontal="right" vertical="center"/>
    </xf>
    <xf numFmtId="0" fontId="22" fillId="9" borderId="24" xfId="0" applyFont="1" applyFill="1" applyBorder="1" applyAlignment="1">
      <alignment horizontal="center" vertical="center"/>
    </xf>
    <xf numFmtId="176" fontId="0" fillId="9" borderId="24" xfId="0" applyNumberFormat="1" applyFont="1" applyFill="1" applyBorder="1">
      <alignment vertical="center"/>
    </xf>
    <xf numFmtId="176" fontId="22" fillId="0" borderId="1" xfId="0" applyNumberFormat="1" applyFont="1" applyFill="1" applyBorder="1">
      <alignment vertical="center"/>
    </xf>
    <xf numFmtId="180" fontId="22" fillId="9" borderId="8" xfId="0" applyNumberFormat="1" applyFont="1" applyFill="1" applyBorder="1">
      <alignment vertical="center"/>
    </xf>
    <xf numFmtId="2" fontId="22" fillId="9" borderId="4" xfId="0" applyNumberFormat="1" applyFont="1" applyFill="1" applyBorder="1">
      <alignment vertical="center"/>
    </xf>
    <xf numFmtId="176" fontId="64" fillId="0" borderId="0" xfId="0" applyNumberFormat="1" applyFont="1" applyFill="1" applyBorder="1">
      <alignment vertical="center"/>
    </xf>
    <xf numFmtId="0" fontId="60" fillId="0" borderId="0" xfId="0" quotePrefix="1" applyFont="1" applyFill="1" applyBorder="1">
      <alignment vertical="center"/>
    </xf>
    <xf numFmtId="185" fontId="49" fillId="0" borderId="0" xfId="0" applyNumberFormat="1" applyFont="1" applyFill="1" applyBorder="1">
      <alignment vertical="center"/>
    </xf>
    <xf numFmtId="176" fontId="77" fillId="0" borderId="0" xfId="0" applyNumberFormat="1" applyFont="1" applyFill="1" applyBorder="1">
      <alignment vertical="center"/>
    </xf>
    <xf numFmtId="0" fontId="22" fillId="0" borderId="0" xfId="0" quotePrefix="1" applyFont="1" applyAlignment="1">
      <alignment horizontal="center" vertical="center"/>
    </xf>
    <xf numFmtId="0" fontId="22" fillId="0" borderId="14" xfId="0" applyFont="1" applyFill="1" applyBorder="1" applyAlignment="1">
      <alignment horizontal="left" vertical="center"/>
    </xf>
    <xf numFmtId="184" fontId="22" fillId="0" borderId="6" xfId="0" applyNumberFormat="1" applyFont="1" applyFill="1" applyBorder="1">
      <alignment vertical="center"/>
    </xf>
    <xf numFmtId="187" fontId="22" fillId="0" borderId="6" xfId="0" applyNumberFormat="1" applyFont="1" applyFill="1" applyBorder="1">
      <alignment vertical="center"/>
    </xf>
    <xf numFmtId="209" fontId="65" fillId="9" borderId="9" xfId="0" applyNumberFormat="1" applyFont="1" applyFill="1" applyBorder="1">
      <alignment vertical="center"/>
    </xf>
    <xf numFmtId="210" fontId="65" fillId="0" borderId="10" xfId="0" applyNumberFormat="1" applyFont="1" applyFill="1" applyBorder="1">
      <alignment vertical="center"/>
    </xf>
    <xf numFmtId="211" fontId="22" fillId="0" borderId="3" xfId="0" applyNumberFormat="1" applyFont="1" applyBorder="1">
      <alignment vertical="center"/>
    </xf>
    <xf numFmtId="211" fontId="22" fillId="0" borderId="0" xfId="0" applyNumberFormat="1" applyFont="1" applyBorder="1">
      <alignment vertical="center"/>
    </xf>
    <xf numFmtId="211" fontId="22" fillId="9" borderId="0" xfId="0" applyNumberFormat="1" applyFont="1" applyFill="1" applyBorder="1">
      <alignment vertical="center"/>
    </xf>
    <xf numFmtId="211" fontId="22" fillId="0" borderId="7" xfId="0" applyNumberFormat="1" applyFont="1" applyBorder="1">
      <alignment vertical="center"/>
    </xf>
    <xf numFmtId="200" fontId="22" fillId="0" borderId="4" xfId="0" applyNumberFormat="1" applyFont="1" applyFill="1" applyBorder="1" applyAlignment="1">
      <alignment horizontal="right" vertical="center"/>
    </xf>
    <xf numFmtId="200" fontId="22" fillId="0" borderId="6" xfId="0" applyNumberFormat="1" applyFont="1" applyFill="1" applyBorder="1" applyAlignment="1">
      <alignment horizontal="right" vertical="center"/>
    </xf>
    <xf numFmtId="200" fontId="22" fillId="9" borderId="6" xfId="0" applyNumberFormat="1" applyFont="1" applyFill="1" applyBorder="1" applyAlignment="1">
      <alignment horizontal="right" vertical="center"/>
    </xf>
    <xf numFmtId="212" fontId="22" fillId="9" borderId="3" xfId="0" applyNumberFormat="1" applyFont="1" applyFill="1" applyBorder="1">
      <alignment vertical="center"/>
    </xf>
    <xf numFmtId="212" fontId="22" fillId="9" borderId="4" xfId="0" applyNumberFormat="1" applyFont="1" applyFill="1" applyBorder="1">
      <alignment vertical="center"/>
    </xf>
    <xf numFmtId="212" fontId="22" fillId="0" borderId="7" xfId="0" applyNumberFormat="1" applyFont="1" applyFill="1" applyBorder="1">
      <alignment vertical="center"/>
    </xf>
    <xf numFmtId="212" fontId="22" fillId="0" borderId="8" xfId="0" applyNumberFormat="1" applyFont="1" applyFill="1" applyBorder="1" applyAlignment="1">
      <alignment horizontal="right" vertical="center"/>
    </xf>
    <xf numFmtId="211" fontId="22" fillId="0" borderId="3" xfId="0" applyNumberFormat="1" applyFont="1" applyFill="1" applyBorder="1">
      <alignment vertical="center"/>
    </xf>
    <xf numFmtId="211" fontId="22" fillId="0" borderId="4" xfId="0" applyNumberFormat="1" applyFont="1" applyFill="1" applyBorder="1">
      <alignment vertical="center"/>
    </xf>
    <xf numFmtId="211" fontId="22" fillId="0" borderId="11" xfId="0" applyNumberFormat="1" applyFont="1" applyBorder="1">
      <alignment vertical="center"/>
    </xf>
    <xf numFmtId="211" fontId="25" fillId="0" borderId="7" xfId="0" applyNumberFormat="1" applyFont="1" applyFill="1" applyBorder="1">
      <alignment vertical="center"/>
    </xf>
    <xf numFmtId="211" fontId="22" fillId="0" borderId="8" xfId="0" applyNumberFormat="1" applyFont="1" applyFill="1" applyBorder="1">
      <alignment vertical="center"/>
    </xf>
    <xf numFmtId="184" fontId="22" fillId="6" borderId="11" xfId="0" applyNumberFormat="1" applyFont="1" applyFill="1" applyBorder="1">
      <alignment vertical="center"/>
    </xf>
    <xf numFmtId="2" fontId="67" fillId="0" borderId="1" xfId="0" applyNumberFormat="1" applyFont="1" applyBorder="1" applyAlignment="1">
      <alignment horizontal="center" vertical="center"/>
    </xf>
    <xf numFmtId="176" fontId="97" fillId="9" borderId="20" xfId="0" applyNumberFormat="1" applyFont="1" applyFill="1" applyBorder="1">
      <alignment vertical="center"/>
    </xf>
    <xf numFmtId="176" fontId="97" fillId="9" borderId="35" xfId="0" applyNumberFormat="1" applyFont="1" applyFill="1" applyBorder="1">
      <alignment vertical="center"/>
    </xf>
    <xf numFmtId="176" fontId="66" fillId="9" borderId="10" xfId="0" applyNumberFormat="1" applyFont="1" applyFill="1" applyBorder="1">
      <alignment vertical="center"/>
    </xf>
    <xf numFmtId="0" fontId="22" fillId="9" borderId="0" xfId="0" applyFont="1" applyFill="1" applyBorder="1" applyAlignment="1">
      <alignment horizontal="center" vertical="center"/>
    </xf>
    <xf numFmtId="180" fontId="42" fillId="0" borderId="0" xfId="0" quotePrefix="1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  <xf numFmtId="178" fontId="25" fillId="11" borderId="34" xfId="0" applyNumberFormat="1" applyFont="1" applyFill="1" applyBorder="1" applyAlignment="1">
      <alignment horizontal="right" vertical="center"/>
    </xf>
    <xf numFmtId="176" fontId="25" fillId="11" borderId="1" xfId="0" applyNumberFormat="1" applyFont="1" applyFill="1" applyBorder="1" applyAlignment="1">
      <alignment horizontal="right" vertical="center"/>
    </xf>
    <xf numFmtId="176" fontId="0" fillId="9" borderId="34" xfId="0" applyNumberFormat="1" applyFont="1" applyFill="1" applyBorder="1">
      <alignment vertical="center"/>
    </xf>
    <xf numFmtId="0" fontId="84" fillId="0" borderId="9" xfId="0" applyFont="1" applyBorder="1">
      <alignment vertical="center"/>
    </xf>
    <xf numFmtId="0" fontId="84" fillId="0" borderId="10" xfId="0" applyFont="1" applyBorder="1">
      <alignment vertical="center"/>
    </xf>
    <xf numFmtId="11" fontId="84" fillId="0" borderId="9" xfId="0" applyNumberFormat="1" applyFont="1" applyBorder="1">
      <alignment vertical="center"/>
    </xf>
    <xf numFmtId="0" fontId="31" fillId="0" borderId="0" xfId="0" applyFont="1" applyFill="1" applyBorder="1" applyAlignment="1">
      <alignment horizontal="right" vertical="center"/>
    </xf>
    <xf numFmtId="0" fontId="62" fillId="0" borderId="0" xfId="0" applyFont="1">
      <alignment vertical="center"/>
    </xf>
    <xf numFmtId="0" fontId="62" fillId="0" borderId="0" xfId="0" applyFont="1" applyAlignment="1">
      <alignment horizontal="right" vertical="center"/>
    </xf>
    <xf numFmtId="176" fontId="66" fillId="9" borderId="30" xfId="0" applyNumberFormat="1" applyFont="1" applyFill="1" applyBorder="1">
      <alignment vertical="center"/>
    </xf>
    <xf numFmtId="184" fontId="22" fillId="9" borderId="6" xfId="0" applyNumberFormat="1" applyFont="1" applyFill="1" applyBorder="1">
      <alignment vertical="center"/>
    </xf>
    <xf numFmtId="0" fontId="23" fillId="0" borderId="0" xfId="0" applyFont="1" applyFill="1" applyAlignment="1">
      <alignment horizontal="center" vertical="center"/>
    </xf>
    <xf numFmtId="0" fontId="67" fillId="0" borderId="0" xfId="0" applyFont="1" applyFill="1" applyAlignment="1">
      <alignment horizontal="center" vertical="center"/>
    </xf>
    <xf numFmtId="0" fontId="78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right" vertical="center"/>
    </xf>
    <xf numFmtId="2" fontId="67" fillId="0" borderId="0" xfId="0" applyNumberFormat="1" applyFont="1" applyFill="1" applyBorder="1" applyAlignment="1">
      <alignment horizontal="center" vertical="center"/>
    </xf>
    <xf numFmtId="181" fontId="23" fillId="10" borderId="28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42" fillId="0" borderId="0" xfId="0" applyNumberFormat="1" applyFont="1" applyBorder="1" applyAlignment="1">
      <alignment horizontal="center" vertical="center"/>
    </xf>
    <xf numFmtId="181" fontId="23" fillId="10" borderId="7" xfId="0" applyNumberFormat="1" applyFont="1" applyFill="1" applyBorder="1" applyAlignment="1">
      <alignment horizontal="center" vertical="center"/>
    </xf>
    <xf numFmtId="185" fontId="44" fillId="0" borderId="19" xfId="0" applyNumberFormat="1" applyFont="1" applyBorder="1">
      <alignment vertical="center"/>
    </xf>
    <xf numFmtId="11" fontId="22" fillId="0" borderId="0" xfId="0" applyNumberFormat="1" applyFont="1" applyFill="1" applyBorder="1">
      <alignment vertical="center"/>
    </xf>
    <xf numFmtId="11" fontId="22" fillId="5" borderId="10" xfId="0" applyNumberFormat="1" applyFont="1" applyFill="1" applyBorder="1" applyAlignment="1">
      <alignment horizontal="right" vertical="center"/>
    </xf>
    <xf numFmtId="180" fontId="42" fillId="0" borderId="7" xfId="0" applyNumberFormat="1" applyFont="1" applyFill="1" applyBorder="1" applyAlignment="1">
      <alignment horizontal="center" vertical="center"/>
    </xf>
    <xf numFmtId="2" fontId="22" fillId="0" borderId="7" xfId="0" applyNumberFormat="1" applyFont="1" applyFill="1" applyBorder="1" applyAlignment="1">
      <alignment horizontal="right" vertical="center"/>
    </xf>
    <xf numFmtId="2" fontId="22" fillId="0" borderId="0" xfId="0" applyNumberFormat="1" applyFont="1" applyFill="1" applyBorder="1" applyAlignment="1">
      <alignment horizontal="right" vertical="center"/>
    </xf>
    <xf numFmtId="180" fontId="42" fillId="0" borderId="0" xfId="0" applyNumberFormat="1" applyFont="1" applyFill="1" applyBorder="1" applyAlignment="1">
      <alignment horizontal="center" vertical="center"/>
    </xf>
  </cellXfs>
  <cellStyles count="95">
    <cellStyle name="Normal_calc" xfId="1"/>
    <cellStyle name="パーセント" xfId="92" builtinId="5"/>
    <cellStyle name="パーセント 2" xfId="13"/>
    <cellStyle name="桁区切り 2" xfId="9"/>
    <cellStyle name="桁区切り 2 2" xfId="22"/>
    <cellStyle name="桁区切り 2 2 2" xfId="45"/>
    <cellStyle name="桁区切り 2 2 3" xfId="53"/>
    <cellStyle name="桁区切り 2 2 4" xfId="54"/>
    <cellStyle name="桁区切り 2 3" xfId="24"/>
    <cellStyle name="桁区切り 2 4" xfId="28"/>
    <cellStyle name="桁区切り 2 5" xfId="39"/>
    <cellStyle name="桁区切り 2 6" xfId="55"/>
    <cellStyle name="桁区切り 2 7" xfId="56"/>
    <cellStyle name="標準" xfId="0" builtinId="0"/>
    <cellStyle name="標準 10" xfId="16"/>
    <cellStyle name="標準 2" xfId="2"/>
    <cellStyle name="標準 2 2" xfId="14"/>
    <cellStyle name="標準 2 3" xfId="29"/>
    <cellStyle name="標準 2 3 2" xfId="49"/>
    <cellStyle name="標準 2 3 3" xfId="57"/>
    <cellStyle name="標準 2 3 4" xfId="58"/>
    <cellStyle name="標準 3" xfId="3"/>
    <cellStyle name="標準 3 2" xfId="12"/>
    <cellStyle name="標準 3 2 2" xfId="17"/>
    <cellStyle name="標準 3 2 3" xfId="40"/>
    <cellStyle name="標準 3 2 4" xfId="59"/>
    <cellStyle name="標準 3 2 5" xfId="60"/>
    <cellStyle name="標準 3 2 6" xfId="87"/>
    <cellStyle name="標準 3 2 7" xfId="89"/>
    <cellStyle name="標準 3 2 7 2" xfId="93"/>
    <cellStyle name="標準 3 2 7 2 2" xfId="94"/>
    <cellStyle name="標準 3 2 8" xfId="90"/>
    <cellStyle name="標準 3 3" xfId="15"/>
    <cellStyle name="標準 3 3 2" xfId="41"/>
    <cellStyle name="標準 3 3 3" xfId="61"/>
    <cellStyle name="標準 3 3 4" xfId="62"/>
    <cellStyle name="標準 3 3 5" xfId="88"/>
    <cellStyle name="標準 3 3 6" xfId="91"/>
    <cellStyle name="標準 3 4" xfId="18"/>
    <cellStyle name="標準 3 5" xfId="30"/>
    <cellStyle name="標準 3 5 2" xfId="50"/>
    <cellStyle name="標準 3 5 3" xfId="63"/>
    <cellStyle name="標準 3 5 4" xfId="64"/>
    <cellStyle name="標準 4" xfId="4"/>
    <cellStyle name="標準 4 2" xfId="31"/>
    <cellStyle name="標準 4 2 2" xfId="51"/>
    <cellStyle name="標準 4 2 3" xfId="65"/>
    <cellStyle name="標準 4 2 4" xfId="66"/>
    <cellStyle name="標準 5" xfId="5"/>
    <cellStyle name="標準 5 2" xfId="10"/>
    <cellStyle name="標準 5 3" xfId="23"/>
    <cellStyle name="標準 5 4" xfId="32"/>
    <cellStyle name="標準 5 4 2" xfId="52"/>
    <cellStyle name="標準 5 4 3" xfId="67"/>
    <cellStyle name="標準 5 4 4" xfId="68"/>
    <cellStyle name="標準 6" xfId="7"/>
    <cellStyle name="標準 6 2" xfId="20"/>
    <cellStyle name="標準 6 2 2" xfId="43"/>
    <cellStyle name="標準 6 2 3" xfId="69"/>
    <cellStyle name="標準 6 2 4" xfId="70"/>
    <cellStyle name="標準 6 3" xfId="25"/>
    <cellStyle name="標準 6 3 2" xfId="46"/>
    <cellStyle name="標準 6 3 3" xfId="71"/>
    <cellStyle name="標準 6 3 4" xfId="72"/>
    <cellStyle name="標準 6 4" xfId="33"/>
    <cellStyle name="標準 6 5" xfId="37"/>
    <cellStyle name="標準 6 6" xfId="73"/>
    <cellStyle name="標準 6 7" xfId="74"/>
    <cellStyle name="標準 7" xfId="6"/>
    <cellStyle name="標準 7 2" xfId="19"/>
    <cellStyle name="標準 7 2 2" xfId="42"/>
    <cellStyle name="標準 7 2 3" xfId="75"/>
    <cellStyle name="標準 7 2 4" xfId="76"/>
    <cellStyle name="標準 7 3" xfId="26"/>
    <cellStyle name="標準 7 3 2" xfId="47"/>
    <cellStyle name="標準 7 3 3" xfId="77"/>
    <cellStyle name="標準 7 3 4" xfId="78"/>
    <cellStyle name="標準 7 4" xfId="34"/>
    <cellStyle name="標準 7 5" xfId="36"/>
    <cellStyle name="標準 7 6" xfId="79"/>
    <cellStyle name="標準 7 7" xfId="80"/>
    <cellStyle name="標準 8" xfId="8"/>
    <cellStyle name="標準 8 2" xfId="21"/>
    <cellStyle name="標準 8 2 2" xfId="44"/>
    <cellStyle name="標準 8 2 3" xfId="81"/>
    <cellStyle name="標準 8 2 4" xfId="82"/>
    <cellStyle name="標準 8 3" xfId="27"/>
    <cellStyle name="標準 8 3 2" xfId="48"/>
    <cellStyle name="標準 8 3 3" xfId="83"/>
    <cellStyle name="標準 8 3 4" xfId="84"/>
    <cellStyle name="標準 8 4" xfId="35"/>
    <cellStyle name="標準 8 5" xfId="38"/>
    <cellStyle name="標準 8 6" xfId="85"/>
    <cellStyle name="標準 8 7" xfId="86"/>
    <cellStyle name="標準 9" xfId="11"/>
  </cellStyles>
  <dxfs count="40"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00"/>
      </font>
      <fill>
        <patternFill>
          <fgColor rgb="FFFF5050"/>
          <bgColor rgb="FFFF5050"/>
        </patternFill>
      </fill>
    </dxf>
    <dxf>
      <font>
        <color rgb="FF006600"/>
      </font>
      <fill>
        <patternFill>
          <fgColor rgb="FFFF5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00"/>
      </font>
      <fill>
        <patternFill>
          <fgColor rgb="FFFF5050"/>
          <bgColor rgb="FFFF5050"/>
        </patternFill>
      </fill>
    </dxf>
    <dxf>
      <font>
        <color rgb="FF006600"/>
      </font>
      <fill>
        <patternFill>
          <fgColor rgb="FFFF5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00"/>
      </font>
      <fill>
        <patternFill>
          <fgColor rgb="FFFF5050"/>
          <bgColor rgb="FFFF5050"/>
        </patternFill>
      </fill>
    </dxf>
    <dxf>
      <font>
        <color rgb="FF006600"/>
      </font>
      <fill>
        <patternFill>
          <fgColor rgb="FFFF5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00"/>
      </font>
      <fill>
        <patternFill>
          <fgColor rgb="FFFF5050"/>
          <bgColor rgb="FFFF5050"/>
        </patternFill>
      </fill>
    </dxf>
    <dxf>
      <font>
        <color rgb="FF006600"/>
      </font>
      <fill>
        <patternFill>
          <fgColor rgb="FFFF5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00"/>
      </font>
      <fill>
        <patternFill>
          <fgColor rgb="FFFF5050"/>
          <bgColor rgb="FFFF5050"/>
        </patternFill>
      </fill>
    </dxf>
    <dxf>
      <font>
        <color rgb="FF006600"/>
      </font>
      <fill>
        <patternFill>
          <fgColor rgb="FFFF5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00"/>
      </font>
      <fill>
        <patternFill>
          <fgColor rgb="FFFF5050"/>
          <bgColor rgb="FFFF5050"/>
        </patternFill>
      </fill>
    </dxf>
    <dxf>
      <font>
        <color rgb="FF006600"/>
      </font>
      <fill>
        <patternFill>
          <fgColor rgb="FFFF5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00"/>
      </font>
      <fill>
        <patternFill>
          <fgColor rgb="FFFF5050"/>
          <bgColor rgb="FFFF5050"/>
        </patternFill>
      </fill>
    </dxf>
    <dxf>
      <font>
        <color rgb="FF006600"/>
      </font>
      <fill>
        <patternFill>
          <fgColor rgb="FFFF5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6600"/>
      <color rgb="FFFFCCFF"/>
      <color rgb="FFCCFF99"/>
      <color rgb="FF6600FF"/>
      <color rgb="FFCCFFFF"/>
      <color rgb="FFFFFFCC"/>
      <color rgb="FF0000FF"/>
      <color rgb="FF9933FF"/>
      <color rgb="FFFF00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'dbg02'!$C$6</c:f>
          <c:strCache>
            <c:ptCount val="1"/>
            <c:pt idx="0">
              <c:v>srim40Ar_Si</c:v>
            </c:pt>
          </c:strCache>
        </c:strRef>
      </c:tx>
      <c:layout>
        <c:manualLayout>
          <c:xMode val="edge"/>
          <c:yMode val="edge"/>
          <c:x val="0.44862738095238097"/>
          <c:y val="8.0895061728395057E-2"/>
        </c:manualLayout>
      </c:layout>
      <c:overlay val="1"/>
      <c:spPr>
        <a:solidFill>
          <a:schemeClr val="bg1"/>
        </a:solidFill>
        <a:ln>
          <a:solidFill>
            <a:srgbClr val="00B050"/>
          </a:solidFill>
        </a:ln>
      </c:spPr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241250000000001"/>
          <c:y val="6.6635802469135808E-2"/>
          <c:w val="0.81885178571428574"/>
          <c:h val="0.79836450617283949"/>
        </c:manualLayout>
      </c:layout>
      <c:scatterChart>
        <c:scatterStyle val="lineMarker"/>
        <c:varyColors val="0"/>
        <c:ser>
          <c:idx val="3"/>
          <c:order val="0"/>
          <c:tx>
            <c:v>dE/dxElec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'dbg02'!$B$36:$B$85</c:f>
              <c:numCache>
                <c:formatCode>0.00_);[Red]\(0.00\)</c:formatCode>
                <c:ptCount val="50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</c:numCache>
            </c:numRef>
          </c:xVal>
          <c:yVal>
            <c:numRef>
              <c:f>'dbg02'!$C$36:$C$85</c:f>
              <c:numCache>
                <c:formatCode>0.000.E+00</c:formatCode>
                <c:ptCount val="50"/>
                <c:pt idx="0">
                  <c:v>9.74</c:v>
                </c:pt>
                <c:pt idx="1">
                  <c:v>9.2216000000000005</c:v>
                </c:pt>
                <c:pt idx="2">
                  <c:v>8.7547999999999995</c:v>
                </c:pt>
                <c:pt idx="3">
                  <c:v>8.3328000000000007</c:v>
                </c:pt>
                <c:pt idx="4">
                  <c:v>7.9498000000000006</c:v>
                </c:pt>
                <c:pt idx="5">
                  <c:v>7.601</c:v>
                </c:pt>
                <c:pt idx="6">
                  <c:v>7.2906000000000004</c:v>
                </c:pt>
                <c:pt idx="7">
                  <c:v>7.0042</c:v>
                </c:pt>
                <c:pt idx="8">
                  <c:v>6.7460000000000004</c:v>
                </c:pt>
                <c:pt idx="9">
                  <c:v>6.508</c:v>
                </c:pt>
                <c:pt idx="10">
                  <c:v>6.27</c:v>
                </c:pt>
                <c:pt idx="11">
                  <c:v>6.0747999999999998</c:v>
                </c:pt>
                <c:pt idx="12">
                  <c:v>5.8795999999999999</c:v>
                </c:pt>
                <c:pt idx="13">
                  <c:v>5.7013999999999996</c:v>
                </c:pt>
                <c:pt idx="14">
                  <c:v>5.5401999999999996</c:v>
                </c:pt>
                <c:pt idx="15">
                  <c:v>5.3789999999999996</c:v>
                </c:pt>
                <c:pt idx="16">
                  <c:v>5.2454000000000001</c:v>
                </c:pt>
                <c:pt idx="17">
                  <c:v>5.1117999999999997</c:v>
                </c:pt>
                <c:pt idx="18">
                  <c:v>4.9897999999999998</c:v>
                </c:pt>
                <c:pt idx="19">
                  <c:v>4.8794000000000004</c:v>
                </c:pt>
                <c:pt idx="20">
                  <c:v>4.7690000000000001</c:v>
                </c:pt>
                <c:pt idx="21">
                  <c:v>4.6630000000000003</c:v>
                </c:pt>
                <c:pt idx="22">
                  <c:v>4.5569999999999995</c:v>
                </c:pt>
                <c:pt idx="23">
                  <c:v>4.4573999999999998</c:v>
                </c:pt>
                <c:pt idx="24">
                  <c:v>4.3641999999999994</c:v>
                </c:pt>
                <c:pt idx="25">
                  <c:v>4.2709999999999999</c:v>
                </c:pt>
                <c:pt idx="26">
                  <c:v>4.1886000000000001</c:v>
                </c:pt>
                <c:pt idx="27">
                  <c:v>4.1062000000000003</c:v>
                </c:pt>
                <c:pt idx="28">
                  <c:v>4.0280000000000005</c:v>
                </c:pt>
                <c:pt idx="29">
                  <c:v>3.9540000000000002</c:v>
                </c:pt>
                <c:pt idx="30">
                  <c:v>3.88</c:v>
                </c:pt>
                <c:pt idx="31">
                  <c:v>3.8136000000000001</c:v>
                </c:pt>
                <c:pt idx="32">
                  <c:v>3.7471999999999999</c:v>
                </c:pt>
                <c:pt idx="33">
                  <c:v>3.6840000000000002</c:v>
                </c:pt>
                <c:pt idx="34">
                  <c:v>3.6240000000000001</c:v>
                </c:pt>
                <c:pt idx="35">
                  <c:v>3.5640000000000001</c:v>
                </c:pt>
                <c:pt idx="36">
                  <c:v>3.5102000000000002</c:v>
                </c:pt>
                <c:pt idx="37">
                  <c:v>3.4563999999999999</c:v>
                </c:pt>
                <c:pt idx="38">
                  <c:v>3.4026000000000001</c:v>
                </c:pt>
                <c:pt idx="39">
                  <c:v>3.3487999999999998</c:v>
                </c:pt>
                <c:pt idx="40">
                  <c:v>3.2949999999999999</c:v>
                </c:pt>
                <c:pt idx="41">
                  <c:v>3.2497199999999999</c:v>
                </c:pt>
                <c:pt idx="42">
                  <c:v>3.20444</c:v>
                </c:pt>
                <c:pt idx="43">
                  <c:v>3.15916</c:v>
                </c:pt>
                <c:pt idx="44">
                  <c:v>3.11388</c:v>
                </c:pt>
                <c:pt idx="45">
                  <c:v>3.0686</c:v>
                </c:pt>
                <c:pt idx="46">
                  <c:v>3.02332</c:v>
                </c:pt>
                <c:pt idx="47">
                  <c:v>2.9841600000000001</c:v>
                </c:pt>
                <c:pt idx="48">
                  <c:v>2.9470399999999999</c:v>
                </c:pt>
                <c:pt idx="49">
                  <c:v>2.9099200000000001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1F6-48A3-872E-A69199F5B7EF}"/>
            </c:ext>
          </c:extLst>
        </c:ser>
        <c:ser>
          <c:idx val="4"/>
          <c:order val="1"/>
          <c:tx>
            <c:v>dE/dxNucl</c:v>
          </c:tx>
          <c:spPr>
            <a:ln>
              <a:solidFill>
                <a:srgbClr val="0000FF"/>
              </a:solidFill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noFill/>
              </a:ln>
            </c:spPr>
          </c:marker>
          <c:xVal>
            <c:numRef>
              <c:f>'dbg02'!$B$36:$B$85</c:f>
              <c:numCache>
                <c:formatCode>0.00_);[Red]\(0.00\)</c:formatCode>
                <c:ptCount val="50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</c:numCache>
            </c:numRef>
          </c:xVal>
          <c:yVal>
            <c:numRef>
              <c:f>'dbg02'!$D$36:$D$85</c:f>
              <c:numCache>
                <c:formatCode>0.000.E+00</c:formatCode>
                <c:ptCount val="50"/>
                <c:pt idx="0">
                  <c:v>5.5240000000000003E-3</c:v>
                </c:pt>
                <c:pt idx="1">
                  <c:v>5.0863999999999996E-3</c:v>
                </c:pt>
                <c:pt idx="2">
                  <c:v>4.7105999999999997E-3</c:v>
                </c:pt>
                <c:pt idx="3">
                  <c:v>4.3857999999999996E-3</c:v>
                </c:pt>
                <c:pt idx="4">
                  <c:v>4.1029999999999999E-3</c:v>
                </c:pt>
                <c:pt idx="5">
                  <c:v>3.8549999999999999E-3</c:v>
                </c:pt>
                <c:pt idx="6">
                  <c:v>3.643E-3</c:v>
                </c:pt>
                <c:pt idx="7">
                  <c:v>3.4520000000000002E-3</c:v>
                </c:pt>
                <c:pt idx="8">
                  <c:v>3.2845999999999999E-3</c:v>
                </c:pt>
                <c:pt idx="9">
                  <c:v>3.1338E-3</c:v>
                </c:pt>
                <c:pt idx="10">
                  <c:v>2.983E-3</c:v>
                </c:pt>
                <c:pt idx="11">
                  <c:v>2.8633999999999999E-3</c:v>
                </c:pt>
                <c:pt idx="12">
                  <c:v>2.7438000000000002E-3</c:v>
                </c:pt>
                <c:pt idx="13">
                  <c:v>2.6358000000000002E-3</c:v>
                </c:pt>
                <c:pt idx="14">
                  <c:v>2.5393999999999998E-3</c:v>
                </c:pt>
                <c:pt idx="15">
                  <c:v>2.4429999999999999E-3</c:v>
                </c:pt>
                <c:pt idx="16">
                  <c:v>2.3630000000000001E-3</c:v>
                </c:pt>
                <c:pt idx="17">
                  <c:v>2.2830000000000003E-3</c:v>
                </c:pt>
                <c:pt idx="18">
                  <c:v>2.2092000000000001E-3</c:v>
                </c:pt>
                <c:pt idx="19">
                  <c:v>2.1416E-3</c:v>
                </c:pt>
                <c:pt idx="20">
                  <c:v>2.0739999999999999E-3</c:v>
                </c:pt>
                <c:pt idx="21">
                  <c:v>2.0163999999999998E-3</c:v>
                </c:pt>
                <c:pt idx="22">
                  <c:v>1.9588000000000001E-3</c:v>
                </c:pt>
                <c:pt idx="23">
                  <c:v>1.9052000000000001E-3</c:v>
                </c:pt>
                <c:pt idx="24">
                  <c:v>1.8556E-3</c:v>
                </c:pt>
                <c:pt idx="25">
                  <c:v>1.8060000000000001E-3</c:v>
                </c:pt>
                <c:pt idx="26">
                  <c:v>1.7624000000000001E-3</c:v>
                </c:pt>
                <c:pt idx="27">
                  <c:v>1.7187999999999999E-3</c:v>
                </c:pt>
                <c:pt idx="28">
                  <c:v>1.6777999999999999E-3</c:v>
                </c:pt>
                <c:pt idx="29">
                  <c:v>1.6394000000000001E-3</c:v>
                </c:pt>
                <c:pt idx="30">
                  <c:v>1.601E-3</c:v>
                </c:pt>
                <c:pt idx="31">
                  <c:v>1.567E-3</c:v>
                </c:pt>
                <c:pt idx="32">
                  <c:v>1.5330000000000001E-3</c:v>
                </c:pt>
                <c:pt idx="33">
                  <c:v>1.5008000000000001E-3</c:v>
                </c:pt>
                <c:pt idx="34">
                  <c:v>1.4704E-3</c:v>
                </c:pt>
                <c:pt idx="35">
                  <c:v>1.4400000000000001E-3</c:v>
                </c:pt>
                <c:pt idx="36">
                  <c:v>1.4138E-3</c:v>
                </c:pt>
                <c:pt idx="37">
                  <c:v>1.3876000000000001E-3</c:v>
                </c:pt>
                <c:pt idx="38">
                  <c:v>1.3614E-3</c:v>
                </c:pt>
                <c:pt idx="39">
                  <c:v>1.3352000000000001E-3</c:v>
                </c:pt>
                <c:pt idx="40">
                  <c:v>1.3090000000000001E-3</c:v>
                </c:pt>
                <c:pt idx="41">
                  <c:v>1.2878800000000001E-3</c:v>
                </c:pt>
                <c:pt idx="42">
                  <c:v>1.26676E-3</c:v>
                </c:pt>
                <c:pt idx="43">
                  <c:v>1.2456400000000001E-3</c:v>
                </c:pt>
                <c:pt idx="44">
                  <c:v>1.22452E-3</c:v>
                </c:pt>
                <c:pt idx="45">
                  <c:v>1.2034000000000001E-3</c:v>
                </c:pt>
                <c:pt idx="46">
                  <c:v>1.1822800000000002E-3</c:v>
                </c:pt>
                <c:pt idx="47">
                  <c:v>1.16416E-3</c:v>
                </c:pt>
                <c:pt idx="48">
                  <c:v>1.14704E-3</c:v>
                </c:pt>
                <c:pt idx="49">
                  <c:v>1.12992E-3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1F6-48A3-872E-A69199F5B7EF}"/>
            </c:ext>
          </c:extLst>
        </c:ser>
        <c:ser>
          <c:idx val="5"/>
          <c:order val="2"/>
          <c:tx>
            <c:v>dE/dxTot</c:v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3"/>
            <c:spPr>
              <a:solidFill>
                <a:srgbClr val="006600"/>
              </a:solidFill>
              <a:ln>
                <a:noFill/>
              </a:ln>
            </c:spPr>
          </c:marker>
          <c:xVal>
            <c:numRef>
              <c:f>'dbg02'!$B$36:$B$85</c:f>
              <c:numCache>
                <c:formatCode>0.00_);[Red]\(0.00\)</c:formatCode>
                <c:ptCount val="50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</c:numCache>
            </c:numRef>
          </c:xVal>
          <c:yVal>
            <c:numRef>
              <c:f>'dbg02'!$E$36:$E$85</c:f>
              <c:numCache>
                <c:formatCode>0.000.E+00</c:formatCode>
                <c:ptCount val="50"/>
                <c:pt idx="0">
                  <c:v>9.7455239999999996</c:v>
                </c:pt>
                <c:pt idx="1">
                  <c:v>9.2266864000000002</c:v>
                </c:pt>
                <c:pt idx="2">
                  <c:v>8.7595106000000005</c:v>
                </c:pt>
                <c:pt idx="3">
                  <c:v>8.3371858000000003</c:v>
                </c:pt>
                <c:pt idx="4">
                  <c:v>7.9539030000000013</c:v>
                </c:pt>
                <c:pt idx="5">
                  <c:v>7.6048549999999997</c:v>
                </c:pt>
                <c:pt idx="6">
                  <c:v>7.2942429999999998</c:v>
                </c:pt>
                <c:pt idx="7">
                  <c:v>7.0076520000000002</c:v>
                </c:pt>
                <c:pt idx="8">
                  <c:v>6.7492846000000002</c:v>
                </c:pt>
                <c:pt idx="9">
                  <c:v>6.5111337999999996</c:v>
                </c:pt>
                <c:pt idx="10">
                  <c:v>6.272983</c:v>
                </c:pt>
                <c:pt idx="11">
                  <c:v>6.0776634000000005</c:v>
                </c:pt>
                <c:pt idx="12">
                  <c:v>5.8823438000000001</c:v>
                </c:pt>
                <c:pt idx="13">
                  <c:v>5.7040358000000007</c:v>
                </c:pt>
                <c:pt idx="14">
                  <c:v>5.5427394000000003</c:v>
                </c:pt>
                <c:pt idx="15">
                  <c:v>5.381443</c:v>
                </c:pt>
                <c:pt idx="16">
                  <c:v>5.247763</c:v>
                </c:pt>
                <c:pt idx="17">
                  <c:v>5.1140829999999999</c:v>
                </c:pt>
                <c:pt idx="18">
                  <c:v>4.9920092</c:v>
                </c:pt>
                <c:pt idx="19">
                  <c:v>4.8815416000000003</c:v>
                </c:pt>
                <c:pt idx="20">
                  <c:v>4.7710740000000005</c:v>
                </c:pt>
                <c:pt idx="21">
                  <c:v>4.6650163999999998</c:v>
                </c:pt>
                <c:pt idx="22">
                  <c:v>4.5589587999999992</c:v>
                </c:pt>
                <c:pt idx="23">
                  <c:v>4.4593051999999993</c:v>
                </c:pt>
                <c:pt idx="24">
                  <c:v>4.3660556000000001</c:v>
                </c:pt>
                <c:pt idx="25">
                  <c:v>4.2728060000000001</c:v>
                </c:pt>
                <c:pt idx="26">
                  <c:v>4.1903624000000006</c:v>
                </c:pt>
                <c:pt idx="27">
                  <c:v>4.1079188000000002</c:v>
                </c:pt>
                <c:pt idx="28">
                  <c:v>4.0296778</c:v>
                </c:pt>
                <c:pt idx="29">
                  <c:v>3.9556393999999999</c:v>
                </c:pt>
                <c:pt idx="30">
                  <c:v>3.8816009999999999</c:v>
                </c:pt>
                <c:pt idx="31">
                  <c:v>3.8151669999999998</c:v>
                </c:pt>
                <c:pt idx="32">
                  <c:v>3.7487330000000001</c:v>
                </c:pt>
                <c:pt idx="33">
                  <c:v>3.6855008000000002</c:v>
                </c:pt>
                <c:pt idx="34">
                  <c:v>3.6254704000000002</c:v>
                </c:pt>
                <c:pt idx="35">
                  <c:v>3.5654400000000002</c:v>
                </c:pt>
                <c:pt idx="36">
                  <c:v>3.5116138000000001</c:v>
                </c:pt>
                <c:pt idx="37">
                  <c:v>3.4577876000000001</c:v>
                </c:pt>
                <c:pt idx="38">
                  <c:v>3.4039614</c:v>
                </c:pt>
                <c:pt idx="39">
                  <c:v>3.3501352</c:v>
                </c:pt>
                <c:pt idx="40">
                  <c:v>3.2963089999999999</c:v>
                </c:pt>
                <c:pt idx="41">
                  <c:v>3.25100788</c:v>
                </c:pt>
                <c:pt idx="42">
                  <c:v>3.20570676</c:v>
                </c:pt>
                <c:pt idx="43">
                  <c:v>3.16040564</c:v>
                </c:pt>
                <c:pt idx="44">
                  <c:v>3.11510452</c:v>
                </c:pt>
                <c:pt idx="45">
                  <c:v>3.0698034000000001</c:v>
                </c:pt>
                <c:pt idx="46">
                  <c:v>3.0245022800000001</c:v>
                </c:pt>
                <c:pt idx="47">
                  <c:v>2.9853241600000002</c:v>
                </c:pt>
                <c:pt idx="48">
                  <c:v>2.9481870400000001</c:v>
                </c:pt>
                <c:pt idx="49">
                  <c:v>2.91104992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1F6-48A3-872E-A69199F5B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5474368"/>
        <c:axId val="455474760"/>
      </c:scatterChart>
      <c:valAx>
        <c:axId val="45547436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</c:majorGridlines>
        <c:minorGridlines>
          <c:spPr>
            <a:ln>
              <a:solidFill>
                <a:srgbClr val="CCECFF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</a:t>
                </a:r>
                <a:r>
                  <a:rPr lang="en-US" baseline="0"/>
                  <a:t> beam</a:t>
                </a:r>
                <a:r>
                  <a:rPr lang="en-US"/>
                  <a:t> [MeV/A]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4429015873015873"/>
              <c:y val="0.93356141975308637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cross"/>
        <c:minorTickMark val="in"/>
        <c:tickLblPos val="nextTo"/>
        <c:txPr>
          <a:bodyPr/>
          <a:lstStyle/>
          <a:p>
            <a:pPr>
              <a:defRPr b="1"/>
            </a:pPr>
            <a:endParaRPr lang="ja-JP"/>
          </a:p>
        </c:txPr>
        <c:crossAx val="455474760"/>
        <c:crosses val="autoZero"/>
        <c:crossBetween val="midCat"/>
      </c:valAx>
      <c:valAx>
        <c:axId val="455474760"/>
        <c:scaling>
          <c:orientation val="minMax"/>
          <c:min val="0"/>
        </c:scaling>
        <c:delete val="0"/>
        <c:axPos val="l"/>
        <c:majorGridlines>
          <c:spPr>
            <a:ln w="12700">
              <a:solidFill>
                <a:schemeClr val="tx2"/>
              </a:solidFill>
              <a:prstDash val="sysDash"/>
            </a:ln>
          </c:spPr>
        </c:majorGridlines>
        <c:min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en-US" altLang="ja-JP">
                    <a:solidFill>
                      <a:schemeClr val="tx1"/>
                    </a:solidFill>
                  </a:rPr>
                  <a:t>dE/dX</a:t>
                </a:r>
                <a:r>
                  <a:rPr lang="en-US" altLang="ja-JP" baseline="0">
                    <a:solidFill>
                      <a:schemeClr val="tx1"/>
                    </a:solidFill>
                  </a:rPr>
                  <a:t> [MeV/(mg/cm2)]</a:t>
                </a:r>
                <a:endParaRPr lang="ja-JP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1.10063492063492E-2"/>
              <c:y val="0.24363117283950617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cross"/>
        <c:minorTickMark val="out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b="1">
                <a:solidFill>
                  <a:schemeClr val="tx1"/>
                </a:solidFill>
              </a:defRPr>
            </a:pPr>
            <a:endParaRPr lang="ja-JP"/>
          </a:p>
        </c:txPr>
        <c:crossAx val="455474368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1477857142857149"/>
          <c:y val="0.18599382716049384"/>
          <c:w val="0.22195456241286549"/>
          <c:h val="0.15493819682796106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  <c:showDLblsOverMax val="0"/>
  </c:chart>
  <c:spPr>
    <a:solidFill>
      <a:schemeClr val="bg1"/>
    </a:solidFill>
    <a:ln w="3175">
      <a:noFill/>
    </a:ln>
  </c:spPr>
  <c:txPr>
    <a:bodyPr/>
    <a:lstStyle/>
    <a:p>
      <a:pPr>
        <a:defRPr baseline="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'dbg02'!$C$6</c:f>
          <c:strCache>
            <c:ptCount val="1"/>
            <c:pt idx="0">
              <c:v>srim40Ar_Si</c:v>
            </c:pt>
          </c:strCache>
        </c:strRef>
      </c:tx>
      <c:layout>
        <c:manualLayout>
          <c:xMode val="edge"/>
          <c:yMode val="edge"/>
          <c:x val="0.1840962301587302"/>
          <c:y val="8.8993827160493852E-2"/>
        </c:manualLayout>
      </c:layout>
      <c:overlay val="1"/>
      <c:spPr>
        <a:solidFill>
          <a:schemeClr val="bg1"/>
        </a:solidFill>
        <a:ln>
          <a:solidFill>
            <a:srgbClr val="00B050"/>
          </a:solidFill>
        </a:ln>
      </c:spPr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03313492063492"/>
          <c:y val="7.1382098765432084E-2"/>
          <c:w val="0.80958829365079354"/>
          <c:h val="0.80228425925925928"/>
        </c:manualLayout>
      </c:layout>
      <c:scatterChart>
        <c:scatterStyle val="lineMarker"/>
        <c:varyColors val="0"/>
        <c:ser>
          <c:idx val="0"/>
          <c:order val="0"/>
          <c:tx>
            <c:v>Range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'dbg02'!$B$36:$B$85</c:f>
              <c:numCache>
                <c:formatCode>0.00_);[Red]\(0.00\)</c:formatCode>
                <c:ptCount val="50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</c:numCache>
            </c:numRef>
          </c:xVal>
          <c:yVal>
            <c:numRef>
              <c:f>'dbg02'!$F$36:$F$85</c:f>
              <c:numCache>
                <c:formatCode>0.000.E+00</c:formatCode>
                <c:ptCount val="50"/>
                <c:pt idx="0">
                  <c:v>130.47</c:v>
                </c:pt>
                <c:pt idx="1">
                  <c:v>148.774</c:v>
                </c:pt>
                <c:pt idx="2">
                  <c:v>168.02600000000001</c:v>
                </c:pt>
                <c:pt idx="3">
                  <c:v>188.214</c:v>
                </c:pt>
                <c:pt idx="4">
                  <c:v>209.32999999999998</c:v>
                </c:pt>
                <c:pt idx="5">
                  <c:v>231.37</c:v>
                </c:pt>
                <c:pt idx="6">
                  <c:v>254.642</c:v>
                </c:pt>
                <c:pt idx="7">
                  <c:v>278.82</c:v>
                </c:pt>
                <c:pt idx="8">
                  <c:v>304.19200000000001</c:v>
                </c:pt>
                <c:pt idx="9">
                  <c:v>330.45600000000002</c:v>
                </c:pt>
                <c:pt idx="10">
                  <c:v>356.72</c:v>
                </c:pt>
                <c:pt idx="11">
                  <c:v>385.34000000000003</c:v>
                </c:pt>
                <c:pt idx="12">
                  <c:v>413.96</c:v>
                </c:pt>
                <c:pt idx="13">
                  <c:v>443.71999999999997</c:v>
                </c:pt>
                <c:pt idx="14">
                  <c:v>474.62</c:v>
                </c:pt>
                <c:pt idx="15">
                  <c:v>505.52</c:v>
                </c:pt>
                <c:pt idx="16">
                  <c:v>538.596</c:v>
                </c:pt>
                <c:pt idx="17">
                  <c:v>571.67200000000003</c:v>
                </c:pt>
                <c:pt idx="18">
                  <c:v>605.774</c:v>
                </c:pt>
                <c:pt idx="19">
                  <c:v>640.90200000000004</c:v>
                </c:pt>
                <c:pt idx="20">
                  <c:v>676.03</c:v>
                </c:pt>
                <c:pt idx="21">
                  <c:v>713.20600000000002</c:v>
                </c:pt>
                <c:pt idx="22">
                  <c:v>750.38200000000006</c:v>
                </c:pt>
                <c:pt idx="23">
                  <c:v>788.61199999999997</c:v>
                </c:pt>
                <c:pt idx="24">
                  <c:v>827.89599999999996</c:v>
                </c:pt>
                <c:pt idx="25">
                  <c:v>867.18</c:v>
                </c:pt>
                <c:pt idx="26">
                  <c:v>908.52799999999991</c:v>
                </c:pt>
                <c:pt idx="27">
                  <c:v>949.87599999999998</c:v>
                </c:pt>
                <c:pt idx="28">
                  <c:v>992.43999999999994</c:v>
                </c:pt>
                <c:pt idx="29">
                  <c:v>1036.22</c:v>
                </c:pt>
                <c:pt idx="30">
                  <c:v>1080</c:v>
                </c:pt>
                <c:pt idx="31">
                  <c:v>1124</c:v>
                </c:pt>
                <c:pt idx="32">
                  <c:v>1168</c:v>
                </c:pt>
                <c:pt idx="33">
                  <c:v>1214</c:v>
                </c:pt>
                <c:pt idx="34">
                  <c:v>1262</c:v>
                </c:pt>
                <c:pt idx="35">
                  <c:v>1310</c:v>
                </c:pt>
                <c:pt idx="36">
                  <c:v>1360</c:v>
                </c:pt>
                <c:pt idx="37">
                  <c:v>1410</c:v>
                </c:pt>
                <c:pt idx="38">
                  <c:v>1460</c:v>
                </c:pt>
                <c:pt idx="39">
                  <c:v>1510</c:v>
                </c:pt>
                <c:pt idx="40">
                  <c:v>1560</c:v>
                </c:pt>
                <c:pt idx="41">
                  <c:v>1614.4</c:v>
                </c:pt>
                <c:pt idx="42">
                  <c:v>1668.8</c:v>
                </c:pt>
                <c:pt idx="43">
                  <c:v>1723.2</c:v>
                </c:pt>
                <c:pt idx="44">
                  <c:v>1777.6</c:v>
                </c:pt>
                <c:pt idx="45">
                  <c:v>1832</c:v>
                </c:pt>
                <c:pt idx="46">
                  <c:v>1886.4</c:v>
                </c:pt>
                <c:pt idx="47">
                  <c:v>1945.6</c:v>
                </c:pt>
                <c:pt idx="48">
                  <c:v>2006.4</c:v>
                </c:pt>
                <c:pt idx="49">
                  <c:v>2067.1999999999998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EB6-4EBD-B02F-758B08D03604}"/>
            </c:ext>
          </c:extLst>
        </c:ser>
        <c:ser>
          <c:idx val="1"/>
          <c:order val="1"/>
          <c:tx>
            <c:v>Stragg. Long</c:v>
          </c:tx>
          <c:spPr>
            <a:ln>
              <a:solidFill>
                <a:srgbClr val="0000FF"/>
              </a:solidFill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noFill/>
              </a:ln>
            </c:spPr>
          </c:marker>
          <c:xVal>
            <c:numRef>
              <c:f>'dbg02'!$B$36:$B$85</c:f>
              <c:numCache>
                <c:formatCode>0.00_);[Red]\(0.00\)</c:formatCode>
                <c:ptCount val="50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</c:numCache>
            </c:numRef>
          </c:xVal>
          <c:yVal>
            <c:numRef>
              <c:f>'dbg02'!$G$36:$G$85</c:f>
              <c:numCache>
                <c:formatCode>0.000.E+00</c:formatCode>
                <c:ptCount val="50"/>
                <c:pt idx="0">
                  <c:v>4.18</c:v>
                </c:pt>
                <c:pt idx="1">
                  <c:v>5.0679999999999996</c:v>
                </c:pt>
                <c:pt idx="2">
                  <c:v>5.9139999999999997</c:v>
                </c:pt>
                <c:pt idx="3">
                  <c:v>6.73</c:v>
                </c:pt>
                <c:pt idx="4">
                  <c:v>7.5259999999999998</c:v>
                </c:pt>
                <c:pt idx="5">
                  <c:v>8.31</c:v>
                </c:pt>
                <c:pt idx="6">
                  <c:v>9.0860000000000003</c:v>
                </c:pt>
                <c:pt idx="7">
                  <c:v>9.8620000000000001</c:v>
                </c:pt>
                <c:pt idx="8">
                  <c:v>10.969999999999999</c:v>
                </c:pt>
                <c:pt idx="9">
                  <c:v>12.41</c:v>
                </c:pt>
                <c:pt idx="10">
                  <c:v>13.85</c:v>
                </c:pt>
                <c:pt idx="11">
                  <c:v>15.178000000000001</c:v>
                </c:pt>
                <c:pt idx="12">
                  <c:v>16.506</c:v>
                </c:pt>
                <c:pt idx="13">
                  <c:v>17.810000000000002</c:v>
                </c:pt>
                <c:pt idx="14">
                  <c:v>19.09</c:v>
                </c:pt>
                <c:pt idx="15">
                  <c:v>20.37</c:v>
                </c:pt>
                <c:pt idx="16">
                  <c:v>21.626000000000001</c:v>
                </c:pt>
                <c:pt idx="17">
                  <c:v>22.882000000000001</c:v>
                </c:pt>
                <c:pt idx="18">
                  <c:v>24.130000000000003</c:v>
                </c:pt>
                <c:pt idx="19">
                  <c:v>25.37</c:v>
                </c:pt>
                <c:pt idx="20">
                  <c:v>26.61</c:v>
                </c:pt>
                <c:pt idx="21">
                  <c:v>27.846</c:v>
                </c:pt>
                <c:pt idx="22">
                  <c:v>29.082000000000001</c:v>
                </c:pt>
                <c:pt idx="23">
                  <c:v>30.321999999999999</c:v>
                </c:pt>
                <c:pt idx="24">
                  <c:v>31.566000000000003</c:v>
                </c:pt>
                <c:pt idx="25">
                  <c:v>32.81</c:v>
                </c:pt>
                <c:pt idx="26">
                  <c:v>34.066000000000003</c:v>
                </c:pt>
                <c:pt idx="27">
                  <c:v>35.322000000000003</c:v>
                </c:pt>
                <c:pt idx="28">
                  <c:v>36.582000000000001</c:v>
                </c:pt>
                <c:pt idx="29">
                  <c:v>37.846000000000004</c:v>
                </c:pt>
                <c:pt idx="30">
                  <c:v>39.11</c:v>
                </c:pt>
                <c:pt idx="31">
                  <c:v>40.385999999999996</c:v>
                </c:pt>
                <c:pt idx="32">
                  <c:v>41.661999999999999</c:v>
                </c:pt>
                <c:pt idx="33">
                  <c:v>42.943999999999996</c:v>
                </c:pt>
                <c:pt idx="34">
                  <c:v>44.231999999999999</c:v>
                </c:pt>
                <c:pt idx="35">
                  <c:v>45.52</c:v>
                </c:pt>
                <c:pt idx="36">
                  <c:v>47.980000000000004</c:v>
                </c:pt>
                <c:pt idx="37">
                  <c:v>50.440000000000005</c:v>
                </c:pt>
                <c:pt idx="38">
                  <c:v>52.9</c:v>
                </c:pt>
                <c:pt idx="39">
                  <c:v>55.36</c:v>
                </c:pt>
                <c:pt idx="40">
                  <c:v>57.82</c:v>
                </c:pt>
                <c:pt idx="41">
                  <c:v>60.639200000000002</c:v>
                </c:pt>
                <c:pt idx="42">
                  <c:v>63.458399999999997</c:v>
                </c:pt>
                <c:pt idx="43">
                  <c:v>66.277599999999993</c:v>
                </c:pt>
                <c:pt idx="44">
                  <c:v>69.096800000000002</c:v>
                </c:pt>
                <c:pt idx="45">
                  <c:v>71.915999999999997</c:v>
                </c:pt>
                <c:pt idx="46">
                  <c:v>74.735199999999992</c:v>
                </c:pt>
                <c:pt idx="47">
                  <c:v>77.435599999999994</c:v>
                </c:pt>
                <c:pt idx="48">
                  <c:v>80.096400000000003</c:v>
                </c:pt>
                <c:pt idx="49">
                  <c:v>82.757199999999997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EB6-4EBD-B02F-758B08D03604}"/>
            </c:ext>
          </c:extLst>
        </c:ser>
        <c:ser>
          <c:idx val="2"/>
          <c:order val="2"/>
          <c:tx>
            <c:v>Stragg.Lateral</c:v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3"/>
            <c:spPr>
              <a:solidFill>
                <a:srgbClr val="006600"/>
              </a:solidFill>
              <a:ln>
                <a:noFill/>
              </a:ln>
            </c:spPr>
          </c:marker>
          <c:xVal>
            <c:numRef>
              <c:f>'dbg02'!$B$36:$B$85</c:f>
              <c:numCache>
                <c:formatCode>0.00_);[Red]\(0.00\)</c:formatCode>
                <c:ptCount val="50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</c:numCache>
            </c:numRef>
          </c:xVal>
          <c:yVal>
            <c:numRef>
              <c:f>'dbg02'!$H$36:$H$85</c:f>
              <c:numCache>
                <c:formatCode>0.000.E+00</c:formatCode>
                <c:ptCount val="50"/>
                <c:pt idx="0">
                  <c:v>1.31</c:v>
                </c:pt>
                <c:pt idx="1">
                  <c:v>1.4219999999999999</c:v>
                </c:pt>
                <c:pt idx="2">
                  <c:v>1.54</c:v>
                </c:pt>
                <c:pt idx="3">
                  <c:v>1.6640000000000001</c:v>
                </c:pt>
                <c:pt idx="4">
                  <c:v>1.794</c:v>
                </c:pt>
                <c:pt idx="5">
                  <c:v>1.93</c:v>
                </c:pt>
                <c:pt idx="6">
                  <c:v>2.0739999999999998</c:v>
                </c:pt>
                <c:pt idx="7">
                  <c:v>2.2239999999999998</c:v>
                </c:pt>
                <c:pt idx="8">
                  <c:v>2.3779999999999997</c:v>
                </c:pt>
                <c:pt idx="9">
                  <c:v>2.5339999999999998</c:v>
                </c:pt>
                <c:pt idx="10">
                  <c:v>2.69</c:v>
                </c:pt>
                <c:pt idx="11">
                  <c:v>2.8660000000000001</c:v>
                </c:pt>
                <c:pt idx="12">
                  <c:v>3.0419999999999998</c:v>
                </c:pt>
                <c:pt idx="13">
                  <c:v>3.222</c:v>
                </c:pt>
                <c:pt idx="14">
                  <c:v>3.4059999999999997</c:v>
                </c:pt>
                <c:pt idx="15">
                  <c:v>3.59</c:v>
                </c:pt>
                <c:pt idx="16">
                  <c:v>3.786</c:v>
                </c:pt>
                <c:pt idx="17">
                  <c:v>3.9820000000000002</c:v>
                </c:pt>
                <c:pt idx="18">
                  <c:v>4.1840000000000002</c:v>
                </c:pt>
                <c:pt idx="19">
                  <c:v>4.3919999999999995</c:v>
                </c:pt>
                <c:pt idx="20">
                  <c:v>4.5999999999999996</c:v>
                </c:pt>
                <c:pt idx="21">
                  <c:v>4.82</c:v>
                </c:pt>
                <c:pt idx="22">
                  <c:v>5.04</c:v>
                </c:pt>
                <c:pt idx="23">
                  <c:v>5.2640000000000002</c:v>
                </c:pt>
                <c:pt idx="24">
                  <c:v>5.492</c:v>
                </c:pt>
                <c:pt idx="25">
                  <c:v>5.72</c:v>
                </c:pt>
                <c:pt idx="26">
                  <c:v>5.96</c:v>
                </c:pt>
                <c:pt idx="27">
                  <c:v>6.2</c:v>
                </c:pt>
                <c:pt idx="28">
                  <c:v>6.4460000000000006</c:v>
                </c:pt>
                <c:pt idx="29">
                  <c:v>6.6980000000000004</c:v>
                </c:pt>
                <c:pt idx="30">
                  <c:v>6.95</c:v>
                </c:pt>
                <c:pt idx="31">
                  <c:v>7.21</c:v>
                </c:pt>
                <c:pt idx="32">
                  <c:v>7.47</c:v>
                </c:pt>
                <c:pt idx="33">
                  <c:v>7.7359999999999998</c:v>
                </c:pt>
                <c:pt idx="34">
                  <c:v>8.0079999999999991</c:v>
                </c:pt>
                <c:pt idx="35">
                  <c:v>8.2799999999999994</c:v>
                </c:pt>
                <c:pt idx="36">
                  <c:v>8.5659999999999989</c:v>
                </c:pt>
                <c:pt idx="37">
                  <c:v>8.8520000000000003</c:v>
                </c:pt>
                <c:pt idx="38">
                  <c:v>9.1379999999999999</c:v>
                </c:pt>
                <c:pt idx="39">
                  <c:v>9.4240000000000013</c:v>
                </c:pt>
                <c:pt idx="40">
                  <c:v>9.7100000000000009</c:v>
                </c:pt>
                <c:pt idx="41">
                  <c:v>10.018800000000001</c:v>
                </c:pt>
                <c:pt idx="42">
                  <c:v>10.3276</c:v>
                </c:pt>
                <c:pt idx="43">
                  <c:v>10.6364</c:v>
                </c:pt>
                <c:pt idx="44">
                  <c:v>10.9452</c:v>
                </c:pt>
                <c:pt idx="45">
                  <c:v>11.254000000000001</c:v>
                </c:pt>
                <c:pt idx="46">
                  <c:v>11.562800000000001</c:v>
                </c:pt>
                <c:pt idx="47">
                  <c:v>11.889600000000002</c:v>
                </c:pt>
                <c:pt idx="48">
                  <c:v>12.2224</c:v>
                </c:pt>
                <c:pt idx="49">
                  <c:v>12.555200000000001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EB6-4EBD-B02F-758B08D03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5476328"/>
        <c:axId val="455475544"/>
      </c:scatterChart>
      <c:valAx>
        <c:axId val="45547632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</c:majorGridlines>
        <c:minorGridlines>
          <c:spPr>
            <a:ln>
              <a:solidFill>
                <a:srgbClr val="CCECFF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</a:t>
                </a:r>
                <a:r>
                  <a:rPr lang="en-US" baseline="0"/>
                  <a:t> beam</a:t>
                </a:r>
                <a:r>
                  <a:rPr lang="en-US"/>
                  <a:t> [MeV/A]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42274285714285714"/>
              <c:y val="0.93382037037037036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cross"/>
        <c:minorTickMark val="in"/>
        <c:tickLblPos val="nextTo"/>
        <c:txPr>
          <a:bodyPr/>
          <a:lstStyle/>
          <a:p>
            <a:pPr>
              <a:defRPr b="1"/>
            </a:pPr>
            <a:endParaRPr lang="ja-JP"/>
          </a:p>
        </c:txPr>
        <c:crossAx val="455475544"/>
        <c:crosses val="autoZero"/>
        <c:crossBetween val="midCat"/>
      </c:valAx>
      <c:valAx>
        <c:axId val="455475544"/>
        <c:scaling>
          <c:orientation val="minMax"/>
        </c:scaling>
        <c:delete val="0"/>
        <c:axPos val="l"/>
        <c:majorGridlines>
          <c:spPr>
            <a:ln w="12700">
              <a:solidFill>
                <a:schemeClr val="tx2"/>
              </a:solidFill>
              <a:prstDash val="sysDash"/>
            </a:ln>
          </c:spPr>
        </c:majorGridlines>
        <c:min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Range, Straggling [</a:t>
                </a:r>
                <a:r>
                  <a:rPr lang="en-US" altLang="ja-JP">
                    <a:solidFill>
                      <a:schemeClr val="tx1"/>
                    </a:solidFill>
                  </a:rPr>
                  <a:t>μm]</a:t>
                </a:r>
                <a:endParaRPr lang="ja-JP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1.1027380952380952E-2"/>
              <c:y val="0.23653611111111111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cross"/>
        <c:minorTickMark val="out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b="1">
                <a:solidFill>
                  <a:schemeClr val="tx1"/>
                </a:solidFill>
              </a:defRPr>
            </a:pPr>
            <a:endParaRPr lang="ja-JP"/>
          </a:p>
        </c:txPr>
        <c:crossAx val="455476328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7956170634920635"/>
          <c:y val="0.22925123456790122"/>
          <c:w val="0.28994361446264111"/>
          <c:h val="0.15190154848491033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  <c:showDLblsOverMax val="0"/>
  </c:chart>
  <c:spPr>
    <a:solidFill>
      <a:schemeClr val="bg1"/>
    </a:solidFill>
    <a:ln w="3175">
      <a:noFill/>
    </a:ln>
  </c:spPr>
  <c:txPr>
    <a:bodyPr/>
    <a:lstStyle/>
    <a:p>
      <a:pPr>
        <a:defRPr baseline="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'dbg02'!$C$6</c:f>
          <c:strCache>
            <c:ptCount val="1"/>
            <c:pt idx="0">
              <c:v>srim40Ar_Si</c:v>
            </c:pt>
          </c:strCache>
        </c:strRef>
      </c:tx>
      <c:layout>
        <c:manualLayout>
          <c:xMode val="edge"/>
          <c:yMode val="edge"/>
          <c:x val="0.17648457596167064"/>
          <c:y val="6.9135893461752945E-2"/>
        </c:manualLayout>
      </c:layout>
      <c:overlay val="1"/>
      <c:spPr>
        <a:solidFill>
          <a:schemeClr val="bg1"/>
        </a:solidFill>
        <a:ln>
          <a:solidFill>
            <a:srgbClr val="00B050"/>
          </a:solidFill>
        </a:ln>
      </c:spPr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0907058670898057E-2"/>
          <c:y val="4.1004378353659665E-2"/>
          <c:w val="0.89444707244294086"/>
          <c:h val="0.9081176241858655"/>
        </c:manualLayout>
      </c:layout>
      <c:scatterChart>
        <c:scatterStyle val="lineMarker"/>
        <c:varyColors val="0"/>
        <c:ser>
          <c:idx val="3"/>
          <c:order val="0"/>
          <c:tx>
            <c:v>dE/dxElec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'dbg02'!$B$92:$B$172</c:f>
              <c:numCache>
                <c:formatCode>0.0E+00</c:formatCode>
                <c:ptCount val="81"/>
                <c:pt idx="0">
                  <c:v>9.9999750000000008E-6</c:v>
                </c:pt>
                <c:pt idx="1">
                  <c:v>1.9999950000000002E-5</c:v>
                </c:pt>
                <c:pt idx="2">
                  <c:v>2.9999925000000002E-5</c:v>
                </c:pt>
                <c:pt idx="3">
                  <c:v>3.9999900000000003E-5</c:v>
                </c:pt>
                <c:pt idx="4">
                  <c:v>4.9999875000000007E-5</c:v>
                </c:pt>
                <c:pt idx="5">
                  <c:v>5.9999850000000005E-5</c:v>
                </c:pt>
                <c:pt idx="6">
                  <c:v>6.9999825000000002E-5</c:v>
                </c:pt>
                <c:pt idx="7">
                  <c:v>7.9999800000000006E-5</c:v>
                </c:pt>
                <c:pt idx="8">
                  <c:v>8.999977500000001E-5</c:v>
                </c:pt>
                <c:pt idx="9">
                  <c:v>9.9999750000000014E-5</c:v>
                </c:pt>
                <c:pt idx="10">
                  <c:v>1.9999950000000003E-4</c:v>
                </c:pt>
                <c:pt idx="11">
                  <c:v>2.9999925000000004E-4</c:v>
                </c:pt>
                <c:pt idx="12">
                  <c:v>3.9999900000000006E-4</c:v>
                </c:pt>
                <c:pt idx="13">
                  <c:v>4.9999875000000002E-4</c:v>
                </c:pt>
                <c:pt idx="14">
                  <c:v>5.9999850000000009E-4</c:v>
                </c:pt>
                <c:pt idx="15">
                  <c:v>6.9999825000000005E-4</c:v>
                </c:pt>
                <c:pt idx="16">
                  <c:v>7.9999800000000012E-4</c:v>
                </c:pt>
                <c:pt idx="17">
                  <c:v>8.9999775000000008E-4</c:v>
                </c:pt>
                <c:pt idx="18">
                  <c:v>9.9999750000000004E-4</c:v>
                </c:pt>
                <c:pt idx="19">
                  <c:v>1.9999950000000001E-3</c:v>
                </c:pt>
                <c:pt idx="20">
                  <c:v>2.9999925000000005E-3</c:v>
                </c:pt>
                <c:pt idx="21">
                  <c:v>3.9999900000000001E-3</c:v>
                </c:pt>
                <c:pt idx="22">
                  <c:v>4.9999875000000006E-3</c:v>
                </c:pt>
                <c:pt idx="23">
                  <c:v>5.9999850000000011E-3</c:v>
                </c:pt>
                <c:pt idx="24">
                  <c:v>6.9999825000000007E-3</c:v>
                </c:pt>
                <c:pt idx="25">
                  <c:v>7.9999800000000003E-3</c:v>
                </c:pt>
                <c:pt idx="26">
                  <c:v>8.9999775000000008E-3</c:v>
                </c:pt>
                <c:pt idx="27">
                  <c:v>9.9999750000000012E-3</c:v>
                </c:pt>
                <c:pt idx="28">
                  <c:v>1.9999950000000002E-2</c:v>
                </c:pt>
                <c:pt idx="29">
                  <c:v>2.9999925000000004E-2</c:v>
                </c:pt>
                <c:pt idx="30">
                  <c:v>3.9999900000000005E-2</c:v>
                </c:pt>
                <c:pt idx="31">
                  <c:v>4.9999875000000006E-2</c:v>
                </c:pt>
                <c:pt idx="32">
                  <c:v>5.9999850000000007E-2</c:v>
                </c:pt>
                <c:pt idx="33">
                  <c:v>6.9999825000000002E-2</c:v>
                </c:pt>
                <c:pt idx="34">
                  <c:v>7.999980000000001E-2</c:v>
                </c:pt>
                <c:pt idx="35">
                  <c:v>8.9999775000000004E-2</c:v>
                </c:pt>
                <c:pt idx="36">
                  <c:v>9.9999750000000012E-2</c:v>
                </c:pt>
                <c:pt idx="37">
                  <c:v>0.19999950000000002</c:v>
                </c:pt>
                <c:pt idx="38">
                  <c:v>0.29999925000000005</c:v>
                </c:pt>
                <c:pt idx="39">
                  <c:v>0.39999900000000005</c:v>
                </c:pt>
                <c:pt idx="40">
                  <c:v>0.49999875000000005</c:v>
                </c:pt>
                <c:pt idx="41">
                  <c:v>0.5999985000000001</c:v>
                </c:pt>
                <c:pt idx="42">
                  <c:v>0.69999825000000004</c:v>
                </c:pt>
                <c:pt idx="43">
                  <c:v>0.7999980000000001</c:v>
                </c:pt>
                <c:pt idx="44">
                  <c:v>0.89999775000000004</c:v>
                </c:pt>
                <c:pt idx="45">
                  <c:v>0.99999750000000009</c:v>
                </c:pt>
                <c:pt idx="46">
                  <c:v>1.9999950000000002</c:v>
                </c:pt>
                <c:pt idx="47">
                  <c:v>2.9999925000000003</c:v>
                </c:pt>
                <c:pt idx="48">
                  <c:v>3.9999900000000004</c:v>
                </c:pt>
                <c:pt idx="49">
                  <c:v>4.9999875000000005</c:v>
                </c:pt>
                <c:pt idx="50">
                  <c:v>5.9999850000000006</c:v>
                </c:pt>
                <c:pt idx="51">
                  <c:v>6.9999825000000007</c:v>
                </c:pt>
                <c:pt idx="52">
                  <c:v>7.9999800000000008</c:v>
                </c:pt>
                <c:pt idx="53">
                  <c:v>8.9999775</c:v>
                </c:pt>
                <c:pt idx="54">
                  <c:v>9.9999750000000009</c:v>
                </c:pt>
                <c:pt idx="55">
                  <c:v>19.999950000000002</c:v>
                </c:pt>
                <c:pt idx="56">
                  <c:v>29.999925000000005</c:v>
                </c:pt>
                <c:pt idx="57">
                  <c:v>39.999900000000004</c:v>
                </c:pt>
                <c:pt idx="58">
                  <c:v>49.999875000000003</c:v>
                </c:pt>
                <c:pt idx="59">
                  <c:v>59.999850000000009</c:v>
                </c:pt>
                <c:pt idx="60">
                  <c:v>69.999825000000001</c:v>
                </c:pt>
                <c:pt idx="61">
                  <c:v>79.999800000000008</c:v>
                </c:pt>
                <c:pt idx="62">
                  <c:v>89.999775</c:v>
                </c:pt>
                <c:pt idx="63">
                  <c:v>99.999750000000006</c:v>
                </c:pt>
                <c:pt idx="64">
                  <c:v>199.99950000000001</c:v>
                </c:pt>
                <c:pt idx="65">
                  <c:v>299.99925000000007</c:v>
                </c:pt>
                <c:pt idx="66">
                  <c:v>399.99900000000002</c:v>
                </c:pt>
                <c:pt idx="67">
                  <c:v>499.99875000000003</c:v>
                </c:pt>
                <c:pt idx="68">
                  <c:v>599.99850000000015</c:v>
                </c:pt>
                <c:pt idx="69">
                  <c:v>699.99824999999998</c:v>
                </c:pt>
                <c:pt idx="70">
                  <c:v>799.99800000000005</c:v>
                </c:pt>
                <c:pt idx="71">
                  <c:v>899.99775</c:v>
                </c:pt>
                <c:pt idx="72">
                  <c:v>999.99750000000006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</c:numCache>
            </c:numRef>
          </c:xVal>
          <c:yVal>
            <c:numRef>
              <c:f>'dbg02'!$C$92:$C$172</c:f>
              <c:numCache>
                <c:formatCode>0.000.E+00</c:formatCode>
                <c:ptCount val="81"/>
                <c:pt idx="0">
                  <c:v>8.8800000000000004E-2</c:v>
                </c:pt>
                <c:pt idx="1">
                  <c:v>0.125599919</c:v>
                </c:pt>
                <c:pt idx="2">
                  <c:v>0.15379980500000001</c:v>
                </c:pt>
                <c:pt idx="3">
                  <c:v>0.17759977600000001</c:v>
                </c:pt>
                <c:pt idx="4">
                  <c:v>0.19859974500000002</c:v>
                </c:pt>
                <c:pt idx="5">
                  <c:v>0.21743972640000001</c:v>
                </c:pt>
                <c:pt idx="6">
                  <c:v>0.23487970880000003</c:v>
                </c:pt>
                <c:pt idx="7">
                  <c:v>0.2511196832</c:v>
                </c:pt>
                <c:pt idx="8">
                  <c:v>0.26637966880000002</c:v>
                </c:pt>
                <c:pt idx="9">
                  <c:v>0.28079964400000001</c:v>
                </c:pt>
                <c:pt idx="10">
                  <c:v>0.39709948800000006</c:v>
                </c:pt>
                <c:pt idx="11">
                  <c:v>0.48639937900000002</c:v>
                </c:pt>
                <c:pt idx="12">
                  <c:v>0.56159928800000003</c:v>
                </c:pt>
                <c:pt idx="13">
                  <c:v>0.62789919500000002</c:v>
                </c:pt>
                <c:pt idx="14">
                  <c:v>0.687599136</c:v>
                </c:pt>
                <c:pt idx="15">
                  <c:v>0.74283908440000002</c:v>
                </c:pt>
                <c:pt idx="16">
                  <c:v>0.79419899199999999</c:v>
                </c:pt>
                <c:pt idx="17">
                  <c:v>0.84233895240000001</c:v>
                </c:pt>
                <c:pt idx="18">
                  <c:v>0.88799887200000005</c:v>
                </c:pt>
                <c:pt idx="19">
                  <c:v>1.2559983800000001</c:v>
                </c:pt>
                <c:pt idx="20">
                  <c:v>1.6849977200000001</c:v>
                </c:pt>
                <c:pt idx="21">
                  <c:v>1.8859983599999999</c:v>
                </c:pt>
                <c:pt idx="22">
                  <c:v>2.0229984000000001</c:v>
                </c:pt>
                <c:pt idx="23">
                  <c:v>2.1357983680000001</c:v>
                </c:pt>
                <c:pt idx="24">
                  <c:v>2.2407982080000002</c:v>
                </c:pt>
                <c:pt idx="25">
                  <c:v>2.3431979519999997</c:v>
                </c:pt>
                <c:pt idx="26">
                  <c:v>2.4469976600000001</c:v>
                </c:pt>
                <c:pt idx="27">
                  <c:v>2.5519973600000001</c:v>
                </c:pt>
                <c:pt idx="28">
                  <c:v>3.6659944200000001</c:v>
                </c:pt>
                <c:pt idx="29">
                  <c:v>4.699992710000001</c:v>
                </c:pt>
                <c:pt idx="30">
                  <c:v>5.5769918000000001</c:v>
                </c:pt>
                <c:pt idx="31">
                  <c:v>6.315991125</c:v>
                </c:pt>
                <c:pt idx="32">
                  <c:v>6.9511909520000001</c:v>
                </c:pt>
                <c:pt idx="33">
                  <c:v>7.5187907880000004</c:v>
                </c:pt>
                <c:pt idx="34">
                  <c:v>8.0307900480000001</c:v>
                </c:pt>
                <c:pt idx="35">
                  <c:v>8.502189812000001</c:v>
                </c:pt>
                <c:pt idx="36">
                  <c:v>8.9439891200000012</c:v>
                </c:pt>
                <c:pt idx="37">
                  <c:v>12.2799862</c:v>
                </c:pt>
                <c:pt idx="38">
                  <c:v>14.4099865</c:v>
                </c:pt>
                <c:pt idx="39">
                  <c:v>15.839987600000001</c:v>
                </c:pt>
                <c:pt idx="40">
                  <c:v>16.829988999999998</c:v>
                </c:pt>
                <c:pt idx="41">
                  <c:v>17.499991600000001</c:v>
                </c:pt>
                <c:pt idx="42">
                  <c:v>17.96199412</c:v>
                </c:pt>
                <c:pt idx="43">
                  <c:v>18.257994879999998</c:v>
                </c:pt>
                <c:pt idx="44">
                  <c:v>18.451997120000001</c:v>
                </c:pt>
                <c:pt idx="45">
                  <c:v>18.5699972</c:v>
                </c:pt>
                <c:pt idx="46">
                  <c:v>18.0400052</c:v>
                </c:pt>
                <c:pt idx="47">
                  <c:v>16.410011699999998</c:v>
                </c:pt>
                <c:pt idx="48">
                  <c:v>14.9700136</c:v>
                </c:pt>
                <c:pt idx="49">
                  <c:v>13.74001475</c:v>
                </c:pt>
                <c:pt idx="50">
                  <c:v>12.694014639999999</c:v>
                </c:pt>
                <c:pt idx="51">
                  <c:v>11.788014280000001</c:v>
                </c:pt>
                <c:pt idx="52">
                  <c:v>11.01201472</c:v>
                </c:pt>
                <c:pt idx="53">
                  <c:v>10.33401404</c:v>
                </c:pt>
                <c:pt idx="54">
                  <c:v>9.7400143999999997</c:v>
                </c:pt>
                <c:pt idx="55">
                  <c:v>6.2700118999999992</c:v>
                </c:pt>
                <c:pt idx="56">
                  <c:v>4.7690082799999995</c:v>
                </c:pt>
                <c:pt idx="57">
                  <c:v>3.8800073999999998</c:v>
                </c:pt>
                <c:pt idx="58">
                  <c:v>3.2950067249999999</c:v>
                </c:pt>
                <c:pt idx="59">
                  <c:v>2.8728055679999995</c:v>
                </c:pt>
                <c:pt idx="60">
                  <c:v>2.5542045920000001</c:v>
                </c:pt>
                <c:pt idx="61">
                  <c:v>2.3102045119999999</c:v>
                </c:pt>
                <c:pt idx="62">
                  <c:v>2.1172038520000003</c:v>
                </c:pt>
                <c:pt idx="63">
                  <c:v>1.9580038</c:v>
                </c:pt>
                <c:pt idx="64">
                  <c:v>1.2150022</c:v>
                </c:pt>
                <c:pt idx="65">
                  <c:v>0.9542014339999999</c:v>
                </c:pt>
                <c:pt idx="66">
                  <c:v>0.822601052</c:v>
                </c:pt>
                <c:pt idx="67">
                  <c:v>0.74460086250000002</c:v>
                </c:pt>
                <c:pt idx="68">
                  <c:v>0.69452064319999995</c:v>
                </c:pt>
                <c:pt idx="69">
                  <c:v>0.65892048719999996</c:v>
                </c:pt>
                <c:pt idx="70">
                  <c:v>0.63356045760000002</c:v>
                </c:pt>
                <c:pt idx="71">
                  <c:v>0.61480036000000005</c:v>
                </c:pt>
                <c:pt idx="72">
                  <c:v>0.60040033600000009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4B9-424B-B283-9AE91EBDEF9A}"/>
            </c:ext>
          </c:extLst>
        </c:ser>
        <c:ser>
          <c:idx val="4"/>
          <c:order val="1"/>
          <c:tx>
            <c:v>dE/dxNucl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'dbg02'!$B$92:$B$172</c:f>
              <c:numCache>
                <c:formatCode>0.0E+00</c:formatCode>
                <c:ptCount val="81"/>
                <c:pt idx="0">
                  <c:v>9.9999750000000008E-6</c:v>
                </c:pt>
                <c:pt idx="1">
                  <c:v>1.9999950000000002E-5</c:v>
                </c:pt>
                <c:pt idx="2">
                  <c:v>2.9999925000000002E-5</c:v>
                </c:pt>
                <c:pt idx="3">
                  <c:v>3.9999900000000003E-5</c:v>
                </c:pt>
                <c:pt idx="4">
                  <c:v>4.9999875000000007E-5</c:v>
                </c:pt>
                <c:pt idx="5">
                  <c:v>5.9999850000000005E-5</c:v>
                </c:pt>
                <c:pt idx="6">
                  <c:v>6.9999825000000002E-5</c:v>
                </c:pt>
                <c:pt idx="7">
                  <c:v>7.9999800000000006E-5</c:v>
                </c:pt>
                <c:pt idx="8">
                  <c:v>8.999977500000001E-5</c:v>
                </c:pt>
                <c:pt idx="9">
                  <c:v>9.9999750000000014E-5</c:v>
                </c:pt>
                <c:pt idx="10">
                  <c:v>1.9999950000000003E-4</c:v>
                </c:pt>
                <c:pt idx="11">
                  <c:v>2.9999925000000004E-4</c:v>
                </c:pt>
                <c:pt idx="12">
                  <c:v>3.9999900000000006E-4</c:v>
                </c:pt>
                <c:pt idx="13">
                  <c:v>4.9999875000000002E-4</c:v>
                </c:pt>
                <c:pt idx="14">
                  <c:v>5.9999850000000009E-4</c:v>
                </c:pt>
                <c:pt idx="15">
                  <c:v>6.9999825000000005E-4</c:v>
                </c:pt>
                <c:pt idx="16">
                  <c:v>7.9999800000000012E-4</c:v>
                </c:pt>
                <c:pt idx="17">
                  <c:v>8.9999775000000008E-4</c:v>
                </c:pt>
                <c:pt idx="18">
                  <c:v>9.9999750000000004E-4</c:v>
                </c:pt>
                <c:pt idx="19">
                  <c:v>1.9999950000000001E-3</c:v>
                </c:pt>
                <c:pt idx="20">
                  <c:v>2.9999925000000005E-3</c:v>
                </c:pt>
                <c:pt idx="21">
                  <c:v>3.9999900000000001E-3</c:v>
                </c:pt>
                <c:pt idx="22">
                  <c:v>4.9999875000000006E-3</c:v>
                </c:pt>
                <c:pt idx="23">
                  <c:v>5.9999850000000011E-3</c:v>
                </c:pt>
                <c:pt idx="24">
                  <c:v>6.9999825000000007E-3</c:v>
                </c:pt>
                <c:pt idx="25">
                  <c:v>7.9999800000000003E-3</c:v>
                </c:pt>
                <c:pt idx="26">
                  <c:v>8.9999775000000008E-3</c:v>
                </c:pt>
                <c:pt idx="27">
                  <c:v>9.9999750000000012E-3</c:v>
                </c:pt>
                <c:pt idx="28">
                  <c:v>1.9999950000000002E-2</c:v>
                </c:pt>
                <c:pt idx="29">
                  <c:v>2.9999925000000004E-2</c:v>
                </c:pt>
                <c:pt idx="30">
                  <c:v>3.9999900000000005E-2</c:v>
                </c:pt>
                <c:pt idx="31">
                  <c:v>4.9999875000000006E-2</c:v>
                </c:pt>
                <c:pt idx="32">
                  <c:v>5.9999850000000007E-2</c:v>
                </c:pt>
                <c:pt idx="33">
                  <c:v>6.9999825000000002E-2</c:v>
                </c:pt>
                <c:pt idx="34">
                  <c:v>7.999980000000001E-2</c:v>
                </c:pt>
                <c:pt idx="35">
                  <c:v>8.9999775000000004E-2</c:v>
                </c:pt>
                <c:pt idx="36">
                  <c:v>9.9999750000000012E-2</c:v>
                </c:pt>
                <c:pt idx="37">
                  <c:v>0.19999950000000002</c:v>
                </c:pt>
                <c:pt idx="38">
                  <c:v>0.29999925000000005</c:v>
                </c:pt>
                <c:pt idx="39">
                  <c:v>0.39999900000000005</c:v>
                </c:pt>
                <c:pt idx="40">
                  <c:v>0.49999875000000005</c:v>
                </c:pt>
                <c:pt idx="41">
                  <c:v>0.5999985000000001</c:v>
                </c:pt>
                <c:pt idx="42">
                  <c:v>0.69999825000000004</c:v>
                </c:pt>
                <c:pt idx="43">
                  <c:v>0.7999980000000001</c:v>
                </c:pt>
                <c:pt idx="44">
                  <c:v>0.89999775000000004</c:v>
                </c:pt>
                <c:pt idx="45">
                  <c:v>0.99999750000000009</c:v>
                </c:pt>
                <c:pt idx="46">
                  <c:v>1.9999950000000002</c:v>
                </c:pt>
                <c:pt idx="47">
                  <c:v>2.9999925000000003</c:v>
                </c:pt>
                <c:pt idx="48">
                  <c:v>3.9999900000000004</c:v>
                </c:pt>
                <c:pt idx="49">
                  <c:v>4.9999875000000005</c:v>
                </c:pt>
                <c:pt idx="50">
                  <c:v>5.9999850000000006</c:v>
                </c:pt>
                <c:pt idx="51">
                  <c:v>6.9999825000000007</c:v>
                </c:pt>
                <c:pt idx="52">
                  <c:v>7.9999800000000008</c:v>
                </c:pt>
                <c:pt idx="53">
                  <c:v>8.9999775</c:v>
                </c:pt>
                <c:pt idx="54">
                  <c:v>9.9999750000000009</c:v>
                </c:pt>
                <c:pt idx="55">
                  <c:v>19.999950000000002</c:v>
                </c:pt>
                <c:pt idx="56">
                  <c:v>29.999925000000005</c:v>
                </c:pt>
                <c:pt idx="57">
                  <c:v>39.999900000000004</c:v>
                </c:pt>
                <c:pt idx="58">
                  <c:v>49.999875000000003</c:v>
                </c:pt>
                <c:pt idx="59">
                  <c:v>59.999850000000009</c:v>
                </c:pt>
                <c:pt idx="60">
                  <c:v>69.999825000000001</c:v>
                </c:pt>
                <c:pt idx="61">
                  <c:v>79.999800000000008</c:v>
                </c:pt>
                <c:pt idx="62">
                  <c:v>89.999775</c:v>
                </c:pt>
                <c:pt idx="63">
                  <c:v>99.999750000000006</c:v>
                </c:pt>
                <c:pt idx="64">
                  <c:v>199.99950000000001</c:v>
                </c:pt>
                <c:pt idx="65">
                  <c:v>299.99925000000007</c:v>
                </c:pt>
                <c:pt idx="66">
                  <c:v>399.99900000000002</c:v>
                </c:pt>
                <c:pt idx="67">
                  <c:v>499.99875000000003</c:v>
                </c:pt>
                <c:pt idx="68">
                  <c:v>599.99850000000015</c:v>
                </c:pt>
                <c:pt idx="69">
                  <c:v>699.99824999999998</c:v>
                </c:pt>
                <c:pt idx="70">
                  <c:v>799.99800000000005</c:v>
                </c:pt>
                <c:pt idx="71">
                  <c:v>899.99775</c:v>
                </c:pt>
                <c:pt idx="72">
                  <c:v>999.99750000000006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</c:numCache>
            </c:numRef>
          </c:xVal>
          <c:yVal>
            <c:numRef>
              <c:f>'dbg02'!$D$92:$D$172</c:f>
              <c:numCache>
                <c:formatCode>0.000.E+00</c:formatCode>
                <c:ptCount val="81"/>
                <c:pt idx="0">
                  <c:v>0.9204</c:v>
                </c:pt>
                <c:pt idx="1">
                  <c:v>1.22099939</c:v>
                </c:pt>
                <c:pt idx="2">
                  <c:v>1.41599874</c:v>
                </c:pt>
                <c:pt idx="3">
                  <c:v>1.5589987199999999</c:v>
                </c:pt>
                <c:pt idx="4">
                  <c:v>1.671998675</c:v>
                </c:pt>
                <c:pt idx="5">
                  <c:v>1.7627987280000001</c:v>
                </c:pt>
                <c:pt idx="6">
                  <c:v>1.839598796</c:v>
                </c:pt>
                <c:pt idx="7">
                  <c:v>1.905198752</c:v>
                </c:pt>
                <c:pt idx="8">
                  <c:v>1.962198812</c:v>
                </c:pt>
                <c:pt idx="9">
                  <c:v>2.0119988000000002</c:v>
                </c:pt>
                <c:pt idx="10">
                  <c:v>2.3009990200000003</c:v>
                </c:pt>
                <c:pt idx="11">
                  <c:v>2.4229993400000001</c:v>
                </c:pt>
                <c:pt idx="12">
                  <c:v>2.4789996000000003</c:v>
                </c:pt>
                <c:pt idx="13">
                  <c:v>2.5029997750000001</c:v>
                </c:pt>
                <c:pt idx="14">
                  <c:v>2.5064000239999999</c:v>
                </c:pt>
                <c:pt idx="15">
                  <c:v>2.4994002239999999</c:v>
                </c:pt>
                <c:pt idx="16">
                  <c:v>2.4850003200000002</c:v>
                </c:pt>
                <c:pt idx="17">
                  <c:v>2.4658004680000003</c:v>
                </c:pt>
                <c:pt idx="18">
                  <c:v>2.4430006</c:v>
                </c:pt>
                <c:pt idx="19">
                  <c:v>2.1800013000000003</c:v>
                </c:pt>
                <c:pt idx="20">
                  <c:v>1.94900159</c:v>
                </c:pt>
                <c:pt idx="21">
                  <c:v>1.76600168</c:v>
                </c:pt>
                <c:pt idx="22">
                  <c:v>1.6170017749999999</c:v>
                </c:pt>
                <c:pt idx="23">
                  <c:v>1.4964017039999999</c:v>
                </c:pt>
                <c:pt idx="24">
                  <c:v>1.3936015960000001</c:v>
                </c:pt>
                <c:pt idx="25">
                  <c:v>1.306401664</c:v>
                </c:pt>
                <c:pt idx="26">
                  <c:v>1.231801548</c:v>
                </c:pt>
                <c:pt idx="27">
                  <c:v>1.1660016</c:v>
                </c:pt>
                <c:pt idx="28">
                  <c:v>0.78260132799999993</c:v>
                </c:pt>
                <c:pt idx="29">
                  <c:v>0.60380106499999997</c:v>
                </c:pt>
                <c:pt idx="30">
                  <c:v>0.49750089599999997</c:v>
                </c:pt>
                <c:pt idx="31">
                  <c:v>0.42600081499999998</c:v>
                </c:pt>
                <c:pt idx="32">
                  <c:v>0.37470068399999995</c:v>
                </c:pt>
                <c:pt idx="33">
                  <c:v>0.33492058520000001</c:v>
                </c:pt>
                <c:pt idx="34">
                  <c:v>0.30364058239999997</c:v>
                </c:pt>
                <c:pt idx="35">
                  <c:v>0.27832051119999995</c:v>
                </c:pt>
                <c:pt idx="36">
                  <c:v>0.25700051200000001</c:v>
                </c:pt>
                <c:pt idx="37">
                  <c:v>0.15080033199999998</c:v>
                </c:pt>
                <c:pt idx="38">
                  <c:v>0.10920023699999999</c:v>
                </c:pt>
                <c:pt idx="39">
                  <c:v>8.6530186799999992E-2</c:v>
                </c:pt>
                <c:pt idx="40">
                  <c:v>7.2100162499999995E-2</c:v>
                </c:pt>
                <c:pt idx="41">
                  <c:v>6.2164131039999987E-2</c:v>
                </c:pt>
                <c:pt idx="42">
                  <c:v>5.4644108639999994E-2</c:v>
                </c:pt>
                <c:pt idx="43">
                  <c:v>4.887610656E-2</c:v>
                </c:pt>
                <c:pt idx="44">
                  <c:v>4.4294091440000002E-2</c:v>
                </c:pt>
                <c:pt idx="45">
                  <c:v>4.0510090399999997E-2</c:v>
                </c:pt>
                <c:pt idx="46">
                  <c:v>2.2480054399999998E-2</c:v>
                </c:pt>
                <c:pt idx="47">
                  <c:v>1.5850037199999997E-2</c:v>
                </c:pt>
                <c:pt idx="48">
                  <c:v>1.2350028399999999E-2</c:v>
                </c:pt>
                <c:pt idx="49">
                  <c:v>1.01600245E-2</c:v>
                </c:pt>
                <c:pt idx="50">
                  <c:v>8.6826194159999991E-3</c:v>
                </c:pt>
                <c:pt idx="51">
                  <c:v>7.5738158479999994E-3</c:v>
                </c:pt>
                <c:pt idx="52">
                  <c:v>6.7330155199999998E-3</c:v>
                </c:pt>
                <c:pt idx="53">
                  <c:v>6.068813248E-3</c:v>
                </c:pt>
                <c:pt idx="54">
                  <c:v>5.5240129599999997E-3</c:v>
                </c:pt>
                <c:pt idx="55">
                  <c:v>2.9830075399999998E-3</c:v>
                </c:pt>
                <c:pt idx="56">
                  <c:v>2.0740050699999996E-3</c:v>
                </c:pt>
                <c:pt idx="57">
                  <c:v>1.6010038399999998E-3</c:v>
                </c:pt>
                <c:pt idx="58">
                  <c:v>1.309003275E-3</c:v>
                </c:pt>
                <c:pt idx="59">
                  <c:v>1.1128025679999999E-3</c:v>
                </c:pt>
                <c:pt idx="60">
                  <c:v>9.6682208320000005E-4</c:v>
                </c:pt>
                <c:pt idx="61">
                  <c:v>8.5642203519999984E-4</c:v>
                </c:pt>
                <c:pt idx="62">
                  <c:v>7.696417244E-4</c:v>
                </c:pt>
                <c:pt idx="63">
                  <c:v>6.9870168799999999E-4</c:v>
                </c:pt>
                <c:pt idx="64">
                  <c:v>3.7130096400000002E-4</c:v>
                </c:pt>
                <c:pt idx="65">
                  <c:v>2.5610063899999993E-4</c:v>
                </c:pt>
                <c:pt idx="66">
                  <c:v>1.96600484E-4</c:v>
                </c:pt>
                <c:pt idx="67">
                  <c:v>1.6010040749999999E-4</c:v>
                </c:pt>
                <c:pt idx="68">
                  <c:v>1.3572031919999996E-4</c:v>
                </c:pt>
                <c:pt idx="69">
                  <c:v>1.175602576E-4</c:v>
                </c:pt>
                <c:pt idx="70">
                  <c:v>1.038802528E-4</c:v>
                </c:pt>
                <c:pt idx="71">
                  <c:v>9.3190212400000007E-5</c:v>
                </c:pt>
                <c:pt idx="72">
                  <c:v>8.4450208000000002E-5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4B9-424B-B283-9AE91EBDEF9A}"/>
            </c:ext>
          </c:extLst>
        </c:ser>
        <c:ser>
          <c:idx val="5"/>
          <c:order val="2"/>
          <c:tx>
            <c:v>dE/dxTot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'dbg02'!$B$92:$B$172</c:f>
              <c:numCache>
                <c:formatCode>0.0E+00</c:formatCode>
                <c:ptCount val="81"/>
                <c:pt idx="0">
                  <c:v>9.9999750000000008E-6</c:v>
                </c:pt>
                <c:pt idx="1">
                  <c:v>1.9999950000000002E-5</c:v>
                </c:pt>
                <c:pt idx="2">
                  <c:v>2.9999925000000002E-5</c:v>
                </c:pt>
                <c:pt idx="3">
                  <c:v>3.9999900000000003E-5</c:v>
                </c:pt>
                <c:pt idx="4">
                  <c:v>4.9999875000000007E-5</c:v>
                </c:pt>
                <c:pt idx="5">
                  <c:v>5.9999850000000005E-5</c:v>
                </c:pt>
                <c:pt idx="6">
                  <c:v>6.9999825000000002E-5</c:v>
                </c:pt>
                <c:pt idx="7">
                  <c:v>7.9999800000000006E-5</c:v>
                </c:pt>
                <c:pt idx="8">
                  <c:v>8.999977500000001E-5</c:v>
                </c:pt>
                <c:pt idx="9">
                  <c:v>9.9999750000000014E-5</c:v>
                </c:pt>
                <c:pt idx="10">
                  <c:v>1.9999950000000003E-4</c:v>
                </c:pt>
                <c:pt idx="11">
                  <c:v>2.9999925000000004E-4</c:v>
                </c:pt>
                <c:pt idx="12">
                  <c:v>3.9999900000000006E-4</c:v>
                </c:pt>
                <c:pt idx="13">
                  <c:v>4.9999875000000002E-4</c:v>
                </c:pt>
                <c:pt idx="14">
                  <c:v>5.9999850000000009E-4</c:v>
                </c:pt>
                <c:pt idx="15">
                  <c:v>6.9999825000000005E-4</c:v>
                </c:pt>
                <c:pt idx="16">
                  <c:v>7.9999800000000012E-4</c:v>
                </c:pt>
                <c:pt idx="17">
                  <c:v>8.9999775000000008E-4</c:v>
                </c:pt>
                <c:pt idx="18">
                  <c:v>9.9999750000000004E-4</c:v>
                </c:pt>
                <c:pt idx="19">
                  <c:v>1.9999950000000001E-3</c:v>
                </c:pt>
                <c:pt idx="20">
                  <c:v>2.9999925000000005E-3</c:v>
                </c:pt>
                <c:pt idx="21">
                  <c:v>3.9999900000000001E-3</c:v>
                </c:pt>
                <c:pt idx="22">
                  <c:v>4.9999875000000006E-3</c:v>
                </c:pt>
                <c:pt idx="23">
                  <c:v>5.9999850000000011E-3</c:v>
                </c:pt>
                <c:pt idx="24">
                  <c:v>6.9999825000000007E-3</c:v>
                </c:pt>
                <c:pt idx="25">
                  <c:v>7.9999800000000003E-3</c:v>
                </c:pt>
                <c:pt idx="26">
                  <c:v>8.9999775000000008E-3</c:v>
                </c:pt>
                <c:pt idx="27">
                  <c:v>9.9999750000000012E-3</c:v>
                </c:pt>
                <c:pt idx="28">
                  <c:v>1.9999950000000002E-2</c:v>
                </c:pt>
                <c:pt idx="29">
                  <c:v>2.9999925000000004E-2</c:v>
                </c:pt>
                <c:pt idx="30">
                  <c:v>3.9999900000000005E-2</c:v>
                </c:pt>
                <c:pt idx="31">
                  <c:v>4.9999875000000006E-2</c:v>
                </c:pt>
                <c:pt idx="32">
                  <c:v>5.9999850000000007E-2</c:v>
                </c:pt>
                <c:pt idx="33">
                  <c:v>6.9999825000000002E-2</c:v>
                </c:pt>
                <c:pt idx="34">
                  <c:v>7.999980000000001E-2</c:v>
                </c:pt>
                <c:pt idx="35">
                  <c:v>8.9999775000000004E-2</c:v>
                </c:pt>
                <c:pt idx="36">
                  <c:v>9.9999750000000012E-2</c:v>
                </c:pt>
                <c:pt idx="37">
                  <c:v>0.19999950000000002</c:v>
                </c:pt>
                <c:pt idx="38">
                  <c:v>0.29999925000000005</c:v>
                </c:pt>
                <c:pt idx="39">
                  <c:v>0.39999900000000005</c:v>
                </c:pt>
                <c:pt idx="40">
                  <c:v>0.49999875000000005</c:v>
                </c:pt>
                <c:pt idx="41">
                  <c:v>0.5999985000000001</c:v>
                </c:pt>
                <c:pt idx="42">
                  <c:v>0.69999825000000004</c:v>
                </c:pt>
                <c:pt idx="43">
                  <c:v>0.7999980000000001</c:v>
                </c:pt>
                <c:pt idx="44">
                  <c:v>0.89999775000000004</c:v>
                </c:pt>
                <c:pt idx="45">
                  <c:v>0.99999750000000009</c:v>
                </c:pt>
                <c:pt idx="46">
                  <c:v>1.9999950000000002</c:v>
                </c:pt>
                <c:pt idx="47">
                  <c:v>2.9999925000000003</c:v>
                </c:pt>
                <c:pt idx="48">
                  <c:v>3.9999900000000004</c:v>
                </c:pt>
                <c:pt idx="49">
                  <c:v>4.9999875000000005</c:v>
                </c:pt>
                <c:pt idx="50">
                  <c:v>5.9999850000000006</c:v>
                </c:pt>
                <c:pt idx="51">
                  <c:v>6.9999825000000007</c:v>
                </c:pt>
                <c:pt idx="52">
                  <c:v>7.9999800000000008</c:v>
                </c:pt>
                <c:pt idx="53">
                  <c:v>8.9999775</c:v>
                </c:pt>
                <c:pt idx="54">
                  <c:v>9.9999750000000009</c:v>
                </c:pt>
                <c:pt idx="55">
                  <c:v>19.999950000000002</c:v>
                </c:pt>
                <c:pt idx="56">
                  <c:v>29.999925000000005</c:v>
                </c:pt>
                <c:pt idx="57">
                  <c:v>39.999900000000004</c:v>
                </c:pt>
                <c:pt idx="58">
                  <c:v>49.999875000000003</c:v>
                </c:pt>
                <c:pt idx="59">
                  <c:v>59.999850000000009</c:v>
                </c:pt>
                <c:pt idx="60">
                  <c:v>69.999825000000001</c:v>
                </c:pt>
                <c:pt idx="61">
                  <c:v>79.999800000000008</c:v>
                </c:pt>
                <c:pt idx="62">
                  <c:v>89.999775</c:v>
                </c:pt>
                <c:pt idx="63">
                  <c:v>99.999750000000006</c:v>
                </c:pt>
                <c:pt idx="64">
                  <c:v>199.99950000000001</c:v>
                </c:pt>
                <c:pt idx="65">
                  <c:v>299.99925000000007</c:v>
                </c:pt>
                <c:pt idx="66">
                  <c:v>399.99900000000002</c:v>
                </c:pt>
                <c:pt idx="67">
                  <c:v>499.99875000000003</c:v>
                </c:pt>
                <c:pt idx="68">
                  <c:v>599.99850000000015</c:v>
                </c:pt>
                <c:pt idx="69">
                  <c:v>699.99824999999998</c:v>
                </c:pt>
                <c:pt idx="70">
                  <c:v>799.99800000000005</c:v>
                </c:pt>
                <c:pt idx="71">
                  <c:v>899.99775</c:v>
                </c:pt>
                <c:pt idx="72">
                  <c:v>999.99750000000006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</c:numCache>
            </c:numRef>
          </c:xVal>
          <c:yVal>
            <c:numRef>
              <c:f>'dbg02'!$E$92:$E$172</c:f>
              <c:numCache>
                <c:formatCode>0.000.E+00</c:formatCode>
                <c:ptCount val="81"/>
                <c:pt idx="0">
                  <c:v>1.0092000000000001</c:v>
                </c:pt>
                <c:pt idx="1">
                  <c:v>1.3465993090000001</c:v>
                </c:pt>
                <c:pt idx="2">
                  <c:v>1.569798545</c:v>
                </c:pt>
                <c:pt idx="3">
                  <c:v>1.7365984959999998</c:v>
                </c:pt>
                <c:pt idx="4">
                  <c:v>1.8705984200000001</c:v>
                </c:pt>
                <c:pt idx="5">
                  <c:v>1.9802384544000002</c:v>
                </c:pt>
                <c:pt idx="6">
                  <c:v>2.0744785048000001</c:v>
                </c:pt>
                <c:pt idx="7">
                  <c:v>2.1563184352000002</c:v>
                </c:pt>
                <c:pt idx="8">
                  <c:v>2.2285784808</c:v>
                </c:pt>
                <c:pt idx="9">
                  <c:v>2.2927984440000002</c:v>
                </c:pt>
                <c:pt idx="10">
                  <c:v>2.6980985080000002</c:v>
                </c:pt>
                <c:pt idx="11">
                  <c:v>2.9093987190000004</c:v>
                </c:pt>
                <c:pt idx="12">
                  <c:v>3.0405988879999999</c:v>
                </c:pt>
                <c:pt idx="13">
                  <c:v>3.1308989700000001</c:v>
                </c:pt>
                <c:pt idx="14">
                  <c:v>3.1939991599999997</c:v>
                </c:pt>
                <c:pt idx="15">
                  <c:v>3.2422393083999999</c:v>
                </c:pt>
                <c:pt idx="16">
                  <c:v>3.2791993120000003</c:v>
                </c:pt>
                <c:pt idx="17">
                  <c:v>3.3081394204000003</c:v>
                </c:pt>
                <c:pt idx="18">
                  <c:v>3.3309994719999998</c:v>
                </c:pt>
                <c:pt idx="19">
                  <c:v>3.4359996800000001</c:v>
                </c:pt>
                <c:pt idx="20">
                  <c:v>3.6339993100000005</c:v>
                </c:pt>
                <c:pt idx="21">
                  <c:v>3.6520000400000003</c:v>
                </c:pt>
                <c:pt idx="22">
                  <c:v>3.6400001749999999</c:v>
                </c:pt>
                <c:pt idx="23">
                  <c:v>3.6322000719999998</c:v>
                </c:pt>
                <c:pt idx="24">
                  <c:v>3.6343998040000001</c:v>
                </c:pt>
                <c:pt idx="25">
                  <c:v>3.6495996160000002</c:v>
                </c:pt>
                <c:pt idx="26">
                  <c:v>3.678799208</c:v>
                </c:pt>
                <c:pt idx="27">
                  <c:v>3.7179989600000001</c:v>
                </c:pt>
                <c:pt idx="28">
                  <c:v>4.4485957479999998</c:v>
                </c:pt>
                <c:pt idx="29">
                  <c:v>5.3037937749999999</c:v>
                </c:pt>
                <c:pt idx="30">
                  <c:v>6.0744926960000001</c:v>
                </c:pt>
                <c:pt idx="31">
                  <c:v>6.7419919400000001</c:v>
                </c:pt>
                <c:pt idx="32">
                  <c:v>7.3258916360000006</c:v>
                </c:pt>
                <c:pt idx="33">
                  <c:v>7.8537113732000003</c:v>
                </c:pt>
                <c:pt idx="34">
                  <c:v>8.3344306304</c:v>
                </c:pt>
                <c:pt idx="35">
                  <c:v>8.7805103232000015</c:v>
                </c:pt>
                <c:pt idx="36">
                  <c:v>9.2009896320000006</c:v>
                </c:pt>
                <c:pt idx="37">
                  <c:v>12.430786532000001</c:v>
                </c:pt>
                <c:pt idx="38">
                  <c:v>14.519186737</c:v>
                </c:pt>
                <c:pt idx="39">
                  <c:v>15.9265177868</c:v>
                </c:pt>
                <c:pt idx="40">
                  <c:v>16.902089162499998</c:v>
                </c:pt>
                <c:pt idx="41">
                  <c:v>17.562155731040001</c:v>
                </c:pt>
                <c:pt idx="42">
                  <c:v>18.016638228640002</c:v>
                </c:pt>
                <c:pt idx="43">
                  <c:v>18.30687098656</c:v>
                </c:pt>
                <c:pt idx="44">
                  <c:v>18.496291211440003</c:v>
                </c:pt>
                <c:pt idx="45">
                  <c:v>18.610507290400001</c:v>
                </c:pt>
                <c:pt idx="46">
                  <c:v>18.062485254400002</c:v>
                </c:pt>
                <c:pt idx="47">
                  <c:v>16.425861737200002</c:v>
                </c:pt>
                <c:pt idx="48">
                  <c:v>14.9823636284</c:v>
                </c:pt>
                <c:pt idx="49">
                  <c:v>13.750174774500001</c:v>
                </c:pt>
                <c:pt idx="50">
                  <c:v>12.702697259416</c:v>
                </c:pt>
                <c:pt idx="51">
                  <c:v>11.795588095848</c:v>
                </c:pt>
                <c:pt idx="52">
                  <c:v>11.01874773552</c:v>
                </c:pt>
                <c:pt idx="53">
                  <c:v>10.340082853248001</c:v>
                </c:pt>
                <c:pt idx="54">
                  <c:v>9.7455384129599985</c:v>
                </c:pt>
                <c:pt idx="55">
                  <c:v>6.2729949075399993</c:v>
                </c:pt>
                <c:pt idx="56">
                  <c:v>4.7710822850700003</c:v>
                </c:pt>
                <c:pt idx="57">
                  <c:v>3.8816084038399996</c:v>
                </c:pt>
                <c:pt idx="58">
                  <c:v>3.2963157282749997</c:v>
                </c:pt>
                <c:pt idx="59">
                  <c:v>2.8739183705679996</c:v>
                </c:pt>
                <c:pt idx="60">
                  <c:v>2.5551714140832003</c:v>
                </c:pt>
                <c:pt idx="61">
                  <c:v>2.3110609340351997</c:v>
                </c:pt>
                <c:pt idx="62">
                  <c:v>2.1179734937244001</c:v>
                </c:pt>
                <c:pt idx="63">
                  <c:v>1.958702501688</c:v>
                </c:pt>
                <c:pt idx="64">
                  <c:v>1.2153735009640001</c:v>
                </c:pt>
                <c:pt idx="65">
                  <c:v>0.95445753463899985</c:v>
                </c:pt>
                <c:pt idx="66">
                  <c:v>0.82279765248399994</c:v>
                </c:pt>
                <c:pt idx="67">
                  <c:v>0.74476096290750005</c:v>
                </c:pt>
                <c:pt idx="68">
                  <c:v>0.6946563635191999</c:v>
                </c:pt>
                <c:pt idx="69">
                  <c:v>0.65903804745759997</c:v>
                </c:pt>
                <c:pt idx="70">
                  <c:v>0.63366433785279996</c:v>
                </c:pt>
                <c:pt idx="71">
                  <c:v>0.61489355021240011</c:v>
                </c:pt>
                <c:pt idx="72">
                  <c:v>0.60048478620800005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4B9-424B-B283-9AE91EBDE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694592"/>
        <c:axId val="464692632"/>
      </c:scatterChart>
      <c:valAx>
        <c:axId val="464694592"/>
        <c:scaling>
          <c:logBase val="10"/>
          <c:orientation val="minMax"/>
        </c:scaling>
        <c:delete val="0"/>
        <c:axPos val="b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</c:majorGridlines>
        <c:minorGridlines>
          <c:spPr>
            <a:ln>
              <a:solidFill>
                <a:srgbClr val="CCECFF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</a:t>
                </a:r>
                <a:r>
                  <a:rPr lang="en-US" baseline="0"/>
                  <a:t> beam</a:t>
                </a:r>
                <a:r>
                  <a:rPr lang="en-US"/>
                  <a:t> [MeV/A]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75284210733010004"/>
              <c:y val="0.87084527851134941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cross"/>
        <c:minorTickMark val="in"/>
        <c:tickLblPos val="nextTo"/>
        <c:txPr>
          <a:bodyPr/>
          <a:lstStyle/>
          <a:p>
            <a:pPr>
              <a:defRPr b="1"/>
            </a:pPr>
            <a:endParaRPr lang="ja-JP"/>
          </a:p>
        </c:txPr>
        <c:crossAx val="464692632"/>
        <c:crosses val="autoZero"/>
        <c:crossBetween val="midCat"/>
      </c:valAx>
      <c:valAx>
        <c:axId val="464692632"/>
        <c:scaling>
          <c:logBase val="10"/>
          <c:orientation val="minMax"/>
        </c:scaling>
        <c:delete val="0"/>
        <c:axPos val="l"/>
        <c:majorGridlines>
          <c:spPr>
            <a:ln w="12700">
              <a:solidFill>
                <a:schemeClr val="tx2"/>
              </a:solidFill>
              <a:prstDash val="sysDash"/>
            </a:ln>
          </c:spPr>
        </c:majorGridlines>
        <c:min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en-US" altLang="ja-JP">
                    <a:solidFill>
                      <a:schemeClr val="tx1"/>
                    </a:solidFill>
                  </a:rPr>
                  <a:t>dE/dX</a:t>
                </a:r>
                <a:r>
                  <a:rPr lang="en-US" altLang="ja-JP" baseline="0">
                    <a:solidFill>
                      <a:schemeClr val="tx1"/>
                    </a:solidFill>
                  </a:rPr>
                  <a:t> [MeV/(mg/cm2)]</a:t>
                </a:r>
                <a:endParaRPr lang="ja-JP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8.1561843422938721E-2"/>
              <c:y val="5.9402698968113267E-2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cross"/>
        <c:minorTickMark val="out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b="1">
                <a:solidFill>
                  <a:schemeClr val="tx1"/>
                </a:solidFill>
              </a:defRPr>
            </a:pPr>
            <a:endParaRPr lang="ja-JP"/>
          </a:p>
        </c:txPr>
        <c:crossAx val="464694592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881318357649184"/>
          <c:y val="0.76611734837301426"/>
          <c:w val="0.22195456241286549"/>
          <c:h val="0.15493819682796106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  <c:showDLblsOverMax val="0"/>
  </c:chart>
  <c:spPr>
    <a:solidFill>
      <a:schemeClr val="bg1"/>
    </a:solidFill>
    <a:ln w="3175">
      <a:noFill/>
    </a:ln>
  </c:spPr>
  <c:txPr>
    <a:bodyPr/>
    <a:lstStyle/>
    <a:p>
      <a:pPr>
        <a:defRPr baseline="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'dbg02'!$C$6</c:f>
          <c:strCache>
            <c:ptCount val="1"/>
            <c:pt idx="0">
              <c:v>srim40Ar_Si</c:v>
            </c:pt>
          </c:strCache>
        </c:strRef>
      </c:tx>
      <c:layout>
        <c:manualLayout>
          <c:xMode val="edge"/>
          <c:yMode val="edge"/>
          <c:x val="0.17149704478960079"/>
          <c:y val="4.9796202293778742E-2"/>
        </c:manualLayout>
      </c:layout>
      <c:overlay val="1"/>
      <c:spPr>
        <a:solidFill>
          <a:schemeClr val="bg1"/>
        </a:solidFill>
        <a:ln>
          <a:solidFill>
            <a:srgbClr val="00B050"/>
          </a:solidFill>
        </a:ln>
      </c:spPr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0907058670898057E-2"/>
          <c:y val="4.1004378353659665E-2"/>
          <c:w val="0.89444707244294086"/>
          <c:h val="0.9081176241858655"/>
        </c:manualLayout>
      </c:layout>
      <c:scatterChart>
        <c:scatterStyle val="lineMarker"/>
        <c:varyColors val="0"/>
        <c:ser>
          <c:idx val="0"/>
          <c:order val="0"/>
          <c:tx>
            <c:v>Range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2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'dbg02'!$B$92:$B$172</c:f>
              <c:numCache>
                <c:formatCode>0.0E+00</c:formatCode>
                <c:ptCount val="81"/>
                <c:pt idx="0">
                  <c:v>9.9999750000000008E-6</c:v>
                </c:pt>
                <c:pt idx="1">
                  <c:v>1.9999950000000002E-5</c:v>
                </c:pt>
                <c:pt idx="2">
                  <c:v>2.9999925000000002E-5</c:v>
                </c:pt>
                <c:pt idx="3">
                  <c:v>3.9999900000000003E-5</c:v>
                </c:pt>
                <c:pt idx="4">
                  <c:v>4.9999875000000007E-5</c:v>
                </c:pt>
                <c:pt idx="5">
                  <c:v>5.9999850000000005E-5</c:v>
                </c:pt>
                <c:pt idx="6">
                  <c:v>6.9999825000000002E-5</c:v>
                </c:pt>
                <c:pt idx="7">
                  <c:v>7.9999800000000006E-5</c:v>
                </c:pt>
                <c:pt idx="8">
                  <c:v>8.999977500000001E-5</c:v>
                </c:pt>
                <c:pt idx="9">
                  <c:v>9.9999750000000014E-5</c:v>
                </c:pt>
                <c:pt idx="10">
                  <c:v>1.9999950000000003E-4</c:v>
                </c:pt>
                <c:pt idx="11">
                  <c:v>2.9999925000000004E-4</c:v>
                </c:pt>
                <c:pt idx="12">
                  <c:v>3.9999900000000006E-4</c:v>
                </c:pt>
                <c:pt idx="13">
                  <c:v>4.9999875000000002E-4</c:v>
                </c:pt>
                <c:pt idx="14">
                  <c:v>5.9999850000000009E-4</c:v>
                </c:pt>
                <c:pt idx="15">
                  <c:v>6.9999825000000005E-4</c:v>
                </c:pt>
                <c:pt idx="16">
                  <c:v>7.9999800000000012E-4</c:v>
                </c:pt>
                <c:pt idx="17">
                  <c:v>8.9999775000000008E-4</c:v>
                </c:pt>
                <c:pt idx="18">
                  <c:v>9.9999750000000004E-4</c:v>
                </c:pt>
                <c:pt idx="19">
                  <c:v>1.9999950000000001E-3</c:v>
                </c:pt>
                <c:pt idx="20">
                  <c:v>2.9999925000000005E-3</c:v>
                </c:pt>
                <c:pt idx="21">
                  <c:v>3.9999900000000001E-3</c:v>
                </c:pt>
                <c:pt idx="22">
                  <c:v>4.9999875000000006E-3</c:v>
                </c:pt>
                <c:pt idx="23">
                  <c:v>5.9999850000000011E-3</c:v>
                </c:pt>
                <c:pt idx="24">
                  <c:v>6.9999825000000007E-3</c:v>
                </c:pt>
                <c:pt idx="25">
                  <c:v>7.9999800000000003E-3</c:v>
                </c:pt>
                <c:pt idx="26">
                  <c:v>8.9999775000000008E-3</c:v>
                </c:pt>
                <c:pt idx="27">
                  <c:v>9.9999750000000012E-3</c:v>
                </c:pt>
                <c:pt idx="28">
                  <c:v>1.9999950000000002E-2</c:v>
                </c:pt>
                <c:pt idx="29">
                  <c:v>2.9999925000000004E-2</c:v>
                </c:pt>
                <c:pt idx="30">
                  <c:v>3.9999900000000005E-2</c:v>
                </c:pt>
                <c:pt idx="31">
                  <c:v>4.9999875000000006E-2</c:v>
                </c:pt>
                <c:pt idx="32">
                  <c:v>5.9999850000000007E-2</c:v>
                </c:pt>
                <c:pt idx="33">
                  <c:v>6.9999825000000002E-2</c:v>
                </c:pt>
                <c:pt idx="34">
                  <c:v>7.999980000000001E-2</c:v>
                </c:pt>
                <c:pt idx="35">
                  <c:v>8.9999775000000004E-2</c:v>
                </c:pt>
                <c:pt idx="36">
                  <c:v>9.9999750000000012E-2</c:v>
                </c:pt>
                <c:pt idx="37">
                  <c:v>0.19999950000000002</c:v>
                </c:pt>
                <c:pt idx="38">
                  <c:v>0.29999925000000005</c:v>
                </c:pt>
                <c:pt idx="39">
                  <c:v>0.39999900000000005</c:v>
                </c:pt>
                <c:pt idx="40">
                  <c:v>0.49999875000000005</c:v>
                </c:pt>
                <c:pt idx="41">
                  <c:v>0.5999985000000001</c:v>
                </c:pt>
                <c:pt idx="42">
                  <c:v>0.69999825000000004</c:v>
                </c:pt>
                <c:pt idx="43">
                  <c:v>0.7999980000000001</c:v>
                </c:pt>
                <c:pt idx="44">
                  <c:v>0.89999775000000004</c:v>
                </c:pt>
                <c:pt idx="45">
                  <c:v>0.99999750000000009</c:v>
                </c:pt>
                <c:pt idx="46">
                  <c:v>1.9999950000000002</c:v>
                </c:pt>
                <c:pt idx="47">
                  <c:v>2.9999925000000003</c:v>
                </c:pt>
                <c:pt idx="48">
                  <c:v>3.9999900000000004</c:v>
                </c:pt>
                <c:pt idx="49">
                  <c:v>4.9999875000000005</c:v>
                </c:pt>
                <c:pt idx="50">
                  <c:v>5.9999850000000006</c:v>
                </c:pt>
                <c:pt idx="51">
                  <c:v>6.9999825000000007</c:v>
                </c:pt>
                <c:pt idx="52">
                  <c:v>7.9999800000000008</c:v>
                </c:pt>
                <c:pt idx="53">
                  <c:v>8.9999775</c:v>
                </c:pt>
                <c:pt idx="54">
                  <c:v>9.9999750000000009</c:v>
                </c:pt>
                <c:pt idx="55">
                  <c:v>19.999950000000002</c:v>
                </c:pt>
                <c:pt idx="56">
                  <c:v>29.999925000000005</c:v>
                </c:pt>
                <c:pt idx="57">
                  <c:v>39.999900000000004</c:v>
                </c:pt>
                <c:pt idx="58">
                  <c:v>49.999875000000003</c:v>
                </c:pt>
                <c:pt idx="59">
                  <c:v>59.999850000000009</c:v>
                </c:pt>
                <c:pt idx="60">
                  <c:v>69.999825000000001</c:v>
                </c:pt>
                <c:pt idx="61">
                  <c:v>79.999800000000008</c:v>
                </c:pt>
                <c:pt idx="62">
                  <c:v>89.999775</c:v>
                </c:pt>
                <c:pt idx="63">
                  <c:v>99.999750000000006</c:v>
                </c:pt>
                <c:pt idx="64">
                  <c:v>199.99950000000001</c:v>
                </c:pt>
                <c:pt idx="65">
                  <c:v>299.99925000000007</c:v>
                </c:pt>
                <c:pt idx="66">
                  <c:v>399.99900000000002</c:v>
                </c:pt>
                <c:pt idx="67">
                  <c:v>499.99875000000003</c:v>
                </c:pt>
                <c:pt idx="68">
                  <c:v>599.99850000000015</c:v>
                </c:pt>
                <c:pt idx="69">
                  <c:v>699.99824999999998</c:v>
                </c:pt>
                <c:pt idx="70">
                  <c:v>799.99800000000005</c:v>
                </c:pt>
                <c:pt idx="71">
                  <c:v>899.99775</c:v>
                </c:pt>
                <c:pt idx="72">
                  <c:v>999.99750000000006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</c:numCache>
            </c:numRef>
          </c:xVal>
          <c:yVal>
            <c:numRef>
              <c:f>'dbg02'!$F$92:$F$172</c:f>
              <c:numCache>
                <c:formatCode>0.000.E+00</c:formatCode>
                <c:ptCount val="81"/>
                <c:pt idx="0">
                  <c:v>2.1000000000000003E-3</c:v>
                </c:pt>
                <c:pt idx="1">
                  <c:v>2.9999980000000002E-3</c:v>
                </c:pt>
                <c:pt idx="2">
                  <c:v>3.699997E-3</c:v>
                </c:pt>
                <c:pt idx="3">
                  <c:v>4.3999959999999998E-3</c:v>
                </c:pt>
                <c:pt idx="4">
                  <c:v>5.0999899999999996E-3</c:v>
                </c:pt>
                <c:pt idx="5">
                  <c:v>5.6399904000000011E-3</c:v>
                </c:pt>
                <c:pt idx="6">
                  <c:v>6.2599916000000005E-3</c:v>
                </c:pt>
                <c:pt idx="7">
                  <c:v>6.8199872000000014E-3</c:v>
                </c:pt>
                <c:pt idx="8">
                  <c:v>7.3199891999999999E-3</c:v>
                </c:pt>
                <c:pt idx="9">
                  <c:v>7.8999840000000023E-3</c:v>
                </c:pt>
                <c:pt idx="10">
                  <c:v>1.2699978000000001E-2</c:v>
                </c:pt>
                <c:pt idx="11">
                  <c:v>1.7199967E-2</c:v>
                </c:pt>
                <c:pt idx="12">
                  <c:v>2.1599956000000003E-2</c:v>
                </c:pt>
                <c:pt idx="13">
                  <c:v>2.57999475E-2</c:v>
                </c:pt>
                <c:pt idx="14">
                  <c:v>2.9959937600000004E-2</c:v>
                </c:pt>
                <c:pt idx="15">
                  <c:v>3.4119927200000004E-2</c:v>
                </c:pt>
                <c:pt idx="16">
                  <c:v>3.8279916800000001E-2</c:v>
                </c:pt>
                <c:pt idx="17">
                  <c:v>4.2399909999999999E-2</c:v>
                </c:pt>
                <c:pt idx="18">
                  <c:v>4.6499895999999999E-2</c:v>
                </c:pt>
                <c:pt idx="19">
                  <c:v>8.7899792000000004E-2</c:v>
                </c:pt>
                <c:pt idx="20">
                  <c:v>0.12849970000000002</c:v>
                </c:pt>
                <c:pt idx="21">
                  <c:v>0.16909959199999999</c:v>
                </c:pt>
                <c:pt idx="22">
                  <c:v>0.21029948250000002</c:v>
                </c:pt>
                <c:pt idx="23">
                  <c:v>0.25217936880000003</c:v>
                </c:pt>
                <c:pt idx="24">
                  <c:v>0.29441925520000001</c:v>
                </c:pt>
                <c:pt idx="25">
                  <c:v>0.33689915199999998</c:v>
                </c:pt>
                <c:pt idx="26">
                  <c:v>0.37939904600000007</c:v>
                </c:pt>
                <c:pt idx="27">
                  <c:v>0.42169894400000002</c:v>
                </c:pt>
                <c:pt idx="28">
                  <c:v>0.816798142</c:v>
                </c:pt>
                <c:pt idx="29">
                  <c:v>1.1499976000000001</c:v>
                </c:pt>
                <c:pt idx="30">
                  <c:v>1.4399972000000001</c:v>
                </c:pt>
                <c:pt idx="31">
                  <c:v>1.699997</c:v>
                </c:pt>
                <c:pt idx="32">
                  <c:v>1.9399964000000003</c:v>
                </c:pt>
                <c:pt idx="33">
                  <c:v>2.1659963599999998</c:v>
                </c:pt>
                <c:pt idx="34">
                  <c:v>2.3739958400000001</c:v>
                </c:pt>
                <c:pt idx="35">
                  <c:v>2.5679956800000001</c:v>
                </c:pt>
                <c:pt idx="36">
                  <c:v>2.7599952000000001</c:v>
                </c:pt>
                <c:pt idx="37">
                  <c:v>4.329993</c:v>
                </c:pt>
                <c:pt idx="38">
                  <c:v>5.5999910000000002</c:v>
                </c:pt>
                <c:pt idx="39">
                  <c:v>6.7199891999999997</c:v>
                </c:pt>
                <c:pt idx="40">
                  <c:v>7.7699870000000004</c:v>
                </c:pt>
                <c:pt idx="41">
                  <c:v>8.7659853600000002</c:v>
                </c:pt>
                <c:pt idx="42">
                  <c:v>9.7299831999999995</c:v>
                </c:pt>
                <c:pt idx="43">
                  <c:v>10.681981120000001</c:v>
                </c:pt>
                <c:pt idx="44">
                  <c:v>11.611979120000001</c:v>
                </c:pt>
                <c:pt idx="45">
                  <c:v>12.5399768</c:v>
                </c:pt>
                <c:pt idx="46">
                  <c:v>21.859952800000002</c:v>
                </c:pt>
                <c:pt idx="47">
                  <c:v>31.859922300000001</c:v>
                </c:pt>
                <c:pt idx="48">
                  <c:v>42.849886400000003</c:v>
                </c:pt>
                <c:pt idx="49">
                  <c:v>54.869846500000001</c:v>
                </c:pt>
                <c:pt idx="50">
                  <c:v>67.973797439999998</c:v>
                </c:pt>
                <c:pt idx="51">
                  <c:v>82.049741000000012</c:v>
                </c:pt>
                <c:pt idx="52">
                  <c:v>97.169691200000003</c:v>
                </c:pt>
                <c:pt idx="53">
                  <c:v>113.34362344</c:v>
                </c:pt>
                <c:pt idx="54">
                  <c:v>130.46956600000001</c:v>
                </c:pt>
                <c:pt idx="55">
                  <c:v>356.71868680000006</c:v>
                </c:pt>
                <c:pt idx="56">
                  <c:v>676.02736540000012</c:v>
                </c:pt>
                <c:pt idx="57">
                  <c:v>1079.9956220000001</c:v>
                </c:pt>
                <c:pt idx="58">
                  <c:v>1559.9937500000001</c:v>
                </c:pt>
                <c:pt idx="59">
                  <c:v>2127.9908800000007</c:v>
                </c:pt>
                <c:pt idx="60">
                  <c:v>2765.9879599999999</c:v>
                </c:pt>
                <c:pt idx="61">
                  <c:v>3477.9852800000008</c:v>
                </c:pt>
                <c:pt idx="62">
                  <c:v>4253.98164</c:v>
                </c:pt>
                <c:pt idx="63">
                  <c:v>5099.9784000000009</c:v>
                </c:pt>
                <c:pt idx="64">
                  <c:v>16739.932000000001</c:v>
                </c:pt>
                <c:pt idx="65">
                  <c:v>32949.86770000001</c:v>
                </c:pt>
                <c:pt idx="66">
                  <c:v>52509.794000000002</c:v>
                </c:pt>
                <c:pt idx="67">
                  <c:v>74589.717250000002</c:v>
                </c:pt>
                <c:pt idx="68">
                  <c:v>98675.628960000031</c:v>
                </c:pt>
                <c:pt idx="69">
                  <c:v>124155.53856</c:v>
                </c:pt>
                <c:pt idx="70">
                  <c:v>150843.45984000002</c:v>
                </c:pt>
                <c:pt idx="71">
                  <c:v>178479.3682</c:v>
                </c:pt>
                <c:pt idx="72">
                  <c:v>206819.28760000001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EB6-4EBD-B02F-758B08D03604}"/>
            </c:ext>
          </c:extLst>
        </c:ser>
        <c:ser>
          <c:idx val="1"/>
          <c:order val="1"/>
          <c:tx>
            <c:v>Stragg. Long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'dbg02'!$B$92:$B$172</c:f>
              <c:numCache>
                <c:formatCode>0.0E+00</c:formatCode>
                <c:ptCount val="81"/>
                <c:pt idx="0">
                  <c:v>9.9999750000000008E-6</c:v>
                </c:pt>
                <c:pt idx="1">
                  <c:v>1.9999950000000002E-5</c:v>
                </c:pt>
                <c:pt idx="2">
                  <c:v>2.9999925000000002E-5</c:v>
                </c:pt>
                <c:pt idx="3">
                  <c:v>3.9999900000000003E-5</c:v>
                </c:pt>
                <c:pt idx="4">
                  <c:v>4.9999875000000007E-5</c:v>
                </c:pt>
                <c:pt idx="5">
                  <c:v>5.9999850000000005E-5</c:v>
                </c:pt>
                <c:pt idx="6">
                  <c:v>6.9999825000000002E-5</c:v>
                </c:pt>
                <c:pt idx="7">
                  <c:v>7.9999800000000006E-5</c:v>
                </c:pt>
                <c:pt idx="8">
                  <c:v>8.999977500000001E-5</c:v>
                </c:pt>
                <c:pt idx="9">
                  <c:v>9.9999750000000014E-5</c:v>
                </c:pt>
                <c:pt idx="10">
                  <c:v>1.9999950000000003E-4</c:v>
                </c:pt>
                <c:pt idx="11">
                  <c:v>2.9999925000000004E-4</c:v>
                </c:pt>
                <c:pt idx="12">
                  <c:v>3.9999900000000006E-4</c:v>
                </c:pt>
                <c:pt idx="13">
                  <c:v>4.9999875000000002E-4</c:v>
                </c:pt>
                <c:pt idx="14">
                  <c:v>5.9999850000000009E-4</c:v>
                </c:pt>
                <c:pt idx="15">
                  <c:v>6.9999825000000005E-4</c:v>
                </c:pt>
                <c:pt idx="16">
                  <c:v>7.9999800000000012E-4</c:v>
                </c:pt>
                <c:pt idx="17">
                  <c:v>8.9999775000000008E-4</c:v>
                </c:pt>
                <c:pt idx="18">
                  <c:v>9.9999750000000004E-4</c:v>
                </c:pt>
                <c:pt idx="19">
                  <c:v>1.9999950000000001E-3</c:v>
                </c:pt>
                <c:pt idx="20">
                  <c:v>2.9999925000000005E-3</c:v>
                </c:pt>
                <c:pt idx="21">
                  <c:v>3.9999900000000001E-3</c:v>
                </c:pt>
                <c:pt idx="22">
                  <c:v>4.9999875000000006E-3</c:v>
                </c:pt>
                <c:pt idx="23">
                  <c:v>5.9999850000000011E-3</c:v>
                </c:pt>
                <c:pt idx="24">
                  <c:v>6.9999825000000007E-3</c:v>
                </c:pt>
                <c:pt idx="25">
                  <c:v>7.9999800000000003E-3</c:v>
                </c:pt>
                <c:pt idx="26">
                  <c:v>8.9999775000000008E-3</c:v>
                </c:pt>
                <c:pt idx="27">
                  <c:v>9.9999750000000012E-3</c:v>
                </c:pt>
                <c:pt idx="28">
                  <c:v>1.9999950000000002E-2</c:v>
                </c:pt>
                <c:pt idx="29">
                  <c:v>2.9999925000000004E-2</c:v>
                </c:pt>
                <c:pt idx="30">
                  <c:v>3.9999900000000005E-2</c:v>
                </c:pt>
                <c:pt idx="31">
                  <c:v>4.9999875000000006E-2</c:v>
                </c:pt>
                <c:pt idx="32">
                  <c:v>5.9999850000000007E-2</c:v>
                </c:pt>
                <c:pt idx="33">
                  <c:v>6.9999825000000002E-2</c:v>
                </c:pt>
                <c:pt idx="34">
                  <c:v>7.999980000000001E-2</c:v>
                </c:pt>
                <c:pt idx="35">
                  <c:v>8.9999775000000004E-2</c:v>
                </c:pt>
                <c:pt idx="36">
                  <c:v>9.9999750000000012E-2</c:v>
                </c:pt>
                <c:pt idx="37">
                  <c:v>0.19999950000000002</c:v>
                </c:pt>
                <c:pt idx="38">
                  <c:v>0.29999925000000005</c:v>
                </c:pt>
                <c:pt idx="39">
                  <c:v>0.39999900000000005</c:v>
                </c:pt>
                <c:pt idx="40">
                  <c:v>0.49999875000000005</c:v>
                </c:pt>
                <c:pt idx="41">
                  <c:v>0.5999985000000001</c:v>
                </c:pt>
                <c:pt idx="42">
                  <c:v>0.69999825000000004</c:v>
                </c:pt>
                <c:pt idx="43">
                  <c:v>0.7999980000000001</c:v>
                </c:pt>
                <c:pt idx="44">
                  <c:v>0.89999775000000004</c:v>
                </c:pt>
                <c:pt idx="45">
                  <c:v>0.99999750000000009</c:v>
                </c:pt>
                <c:pt idx="46">
                  <c:v>1.9999950000000002</c:v>
                </c:pt>
                <c:pt idx="47">
                  <c:v>2.9999925000000003</c:v>
                </c:pt>
                <c:pt idx="48">
                  <c:v>3.9999900000000004</c:v>
                </c:pt>
                <c:pt idx="49">
                  <c:v>4.9999875000000005</c:v>
                </c:pt>
                <c:pt idx="50">
                  <c:v>5.9999850000000006</c:v>
                </c:pt>
                <c:pt idx="51">
                  <c:v>6.9999825000000007</c:v>
                </c:pt>
                <c:pt idx="52">
                  <c:v>7.9999800000000008</c:v>
                </c:pt>
                <c:pt idx="53">
                  <c:v>8.9999775</c:v>
                </c:pt>
                <c:pt idx="54">
                  <c:v>9.9999750000000009</c:v>
                </c:pt>
                <c:pt idx="55">
                  <c:v>19.999950000000002</c:v>
                </c:pt>
                <c:pt idx="56">
                  <c:v>29.999925000000005</c:v>
                </c:pt>
                <c:pt idx="57">
                  <c:v>39.999900000000004</c:v>
                </c:pt>
                <c:pt idx="58">
                  <c:v>49.999875000000003</c:v>
                </c:pt>
                <c:pt idx="59">
                  <c:v>59.999850000000009</c:v>
                </c:pt>
                <c:pt idx="60">
                  <c:v>69.999825000000001</c:v>
                </c:pt>
                <c:pt idx="61">
                  <c:v>79.999800000000008</c:v>
                </c:pt>
                <c:pt idx="62">
                  <c:v>89.999775</c:v>
                </c:pt>
                <c:pt idx="63">
                  <c:v>99.999750000000006</c:v>
                </c:pt>
                <c:pt idx="64">
                  <c:v>199.99950000000001</c:v>
                </c:pt>
                <c:pt idx="65">
                  <c:v>299.99925000000007</c:v>
                </c:pt>
                <c:pt idx="66">
                  <c:v>399.99900000000002</c:v>
                </c:pt>
                <c:pt idx="67">
                  <c:v>499.99875000000003</c:v>
                </c:pt>
                <c:pt idx="68">
                  <c:v>599.99850000000015</c:v>
                </c:pt>
                <c:pt idx="69">
                  <c:v>699.99824999999998</c:v>
                </c:pt>
                <c:pt idx="70">
                  <c:v>799.99800000000005</c:v>
                </c:pt>
                <c:pt idx="71">
                  <c:v>899.99775</c:v>
                </c:pt>
                <c:pt idx="72">
                  <c:v>999.99750000000006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</c:numCache>
            </c:numRef>
          </c:xVal>
          <c:yVal>
            <c:numRef>
              <c:f>'dbg02'!$G$92:$G$172</c:f>
              <c:numCache>
                <c:formatCode>0.000.E+00</c:formatCode>
                <c:ptCount val="81"/>
                <c:pt idx="0">
                  <c:v>1.2000000000000001E-3</c:v>
                </c:pt>
                <c:pt idx="1">
                  <c:v>1.6999990000000002E-3</c:v>
                </c:pt>
                <c:pt idx="2">
                  <c:v>2E-3</c:v>
                </c:pt>
                <c:pt idx="3">
                  <c:v>2.3999960000000002E-3</c:v>
                </c:pt>
                <c:pt idx="4">
                  <c:v>2.6999950000000002E-3</c:v>
                </c:pt>
                <c:pt idx="5">
                  <c:v>2.9199952E-3</c:v>
                </c:pt>
                <c:pt idx="6">
                  <c:v>3.1399944000000003E-3</c:v>
                </c:pt>
                <c:pt idx="7">
                  <c:v>3.3799968000000004E-3</c:v>
                </c:pt>
                <c:pt idx="8">
                  <c:v>3.6399964000000001E-3</c:v>
                </c:pt>
                <c:pt idx="9">
                  <c:v>3.8999920000000001E-3</c:v>
                </c:pt>
                <c:pt idx="10">
                  <c:v>5.7999920000000003E-3</c:v>
                </c:pt>
                <c:pt idx="11">
                  <c:v>7.5999880000000002E-3</c:v>
                </c:pt>
                <c:pt idx="12">
                  <c:v>9.1999840000000013E-3</c:v>
                </c:pt>
                <c:pt idx="13">
                  <c:v>1.06999825E-2</c:v>
                </c:pt>
                <c:pt idx="14">
                  <c:v>1.2239978400000002E-2</c:v>
                </c:pt>
                <c:pt idx="15">
                  <c:v>1.3679974800000003E-2</c:v>
                </c:pt>
                <c:pt idx="16">
                  <c:v>1.51199712E-2</c:v>
                </c:pt>
                <c:pt idx="17">
                  <c:v>1.64599676E-2</c:v>
                </c:pt>
                <c:pt idx="18">
                  <c:v>1.7799967999999999E-2</c:v>
                </c:pt>
                <c:pt idx="19">
                  <c:v>3.039994E-2</c:v>
                </c:pt>
                <c:pt idx="20">
                  <c:v>4.1099925000000002E-2</c:v>
                </c:pt>
                <c:pt idx="21">
                  <c:v>5.0599907999999999E-2</c:v>
                </c:pt>
                <c:pt idx="22">
                  <c:v>5.9599890000000003E-2</c:v>
                </c:pt>
                <c:pt idx="23">
                  <c:v>6.8119875200000013E-2</c:v>
                </c:pt>
                <c:pt idx="24">
                  <c:v>7.6159865600000001E-2</c:v>
                </c:pt>
                <c:pt idx="25">
                  <c:v>8.3759849600000005E-2</c:v>
                </c:pt>
                <c:pt idx="26">
                  <c:v>9.0959841600000008E-2</c:v>
                </c:pt>
                <c:pt idx="27">
                  <c:v>9.7799832000000003E-2</c:v>
                </c:pt>
                <c:pt idx="28">
                  <c:v>0.14859979600000001</c:v>
                </c:pt>
                <c:pt idx="29">
                  <c:v>0.17869981400000001</c:v>
                </c:pt>
                <c:pt idx="30">
                  <c:v>0.19849982800000002</c:v>
                </c:pt>
                <c:pt idx="31">
                  <c:v>0.21299982749999999</c:v>
                </c:pt>
                <c:pt idx="32">
                  <c:v>0.22465984159999999</c:v>
                </c:pt>
                <c:pt idx="33">
                  <c:v>0.2341198572</c:v>
                </c:pt>
                <c:pt idx="34">
                  <c:v>0.24187985279999999</c:v>
                </c:pt>
                <c:pt idx="35">
                  <c:v>0.24851986320000002</c:v>
                </c:pt>
                <c:pt idx="36">
                  <c:v>0.25429986000000004</c:v>
                </c:pt>
                <c:pt idx="37">
                  <c:v>0.29489982199999998</c:v>
                </c:pt>
                <c:pt idx="38">
                  <c:v>0.32079983500000003</c:v>
                </c:pt>
                <c:pt idx="39">
                  <c:v>0.33849984</c:v>
                </c:pt>
                <c:pt idx="40">
                  <c:v>0.35619973999999999</c:v>
                </c:pt>
                <c:pt idx="41">
                  <c:v>0.37765969760000001</c:v>
                </c:pt>
                <c:pt idx="42">
                  <c:v>0.39669969199999999</c:v>
                </c:pt>
                <c:pt idx="43">
                  <c:v>0.41389966400000006</c:v>
                </c:pt>
                <c:pt idx="44">
                  <c:v>0.42983965439999999</c:v>
                </c:pt>
                <c:pt idx="45">
                  <c:v>0.44489962799999999</c:v>
                </c:pt>
                <c:pt idx="46">
                  <c:v>0.70129822000000008</c:v>
                </c:pt>
                <c:pt idx="47">
                  <c:v>1.0099977320000002</c:v>
                </c:pt>
                <c:pt idx="48">
                  <c:v>1.2799972000000002</c:v>
                </c:pt>
                <c:pt idx="49">
                  <c:v>1.6599937500000002</c:v>
                </c:pt>
                <c:pt idx="50">
                  <c:v>2.2179920800000001</c:v>
                </c:pt>
                <c:pt idx="51">
                  <c:v>2.7319913200000001</c:v>
                </c:pt>
                <c:pt idx="52">
                  <c:v>3.2199904000000004</c:v>
                </c:pt>
                <c:pt idx="53">
                  <c:v>3.6999892000000001</c:v>
                </c:pt>
                <c:pt idx="54">
                  <c:v>4.1799879999999998</c:v>
                </c:pt>
                <c:pt idx="55">
                  <c:v>13.849928000000002</c:v>
                </c:pt>
                <c:pt idx="56">
                  <c:v>26.609907000000007</c:v>
                </c:pt>
                <c:pt idx="57">
                  <c:v>39.109873600000007</c:v>
                </c:pt>
                <c:pt idx="58">
                  <c:v>57.819692500000009</c:v>
                </c:pt>
                <c:pt idx="59">
                  <c:v>85.417600880000023</c:v>
                </c:pt>
                <c:pt idx="60">
                  <c:v>111.45155172</c:v>
                </c:pt>
                <c:pt idx="61">
                  <c:v>137.01948960000001</c:v>
                </c:pt>
                <c:pt idx="62">
                  <c:v>162.59142292000001</c:v>
                </c:pt>
                <c:pt idx="63">
                  <c:v>188.31935559999999</c:v>
                </c:pt>
                <c:pt idx="64">
                  <c:v>704.98620800000015</c:v>
                </c:pt>
                <c:pt idx="65">
                  <c:v>1349.9955000000004</c:v>
                </c:pt>
                <c:pt idx="66">
                  <c:v>1939.9940000000001</c:v>
                </c:pt>
                <c:pt idx="67">
                  <c:v>2729.9872500000001</c:v>
                </c:pt>
                <c:pt idx="68">
                  <c:v>3827.9848800000013</c:v>
                </c:pt>
                <c:pt idx="69">
                  <c:v>4779.9845999999998</c:v>
                </c:pt>
                <c:pt idx="70">
                  <c:v>5635.9833600000002</c:v>
                </c:pt>
                <c:pt idx="71">
                  <c:v>6427.98308</c:v>
                </c:pt>
                <c:pt idx="72">
                  <c:v>7169.9816000000001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EB6-4EBD-B02F-758B08D03604}"/>
            </c:ext>
          </c:extLst>
        </c:ser>
        <c:ser>
          <c:idx val="2"/>
          <c:order val="2"/>
          <c:tx>
            <c:v>Stragg.Lateral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'dbg02'!$B$92:$B$172</c:f>
              <c:numCache>
                <c:formatCode>0.0E+00</c:formatCode>
                <c:ptCount val="81"/>
                <c:pt idx="0">
                  <c:v>9.9999750000000008E-6</c:v>
                </c:pt>
                <c:pt idx="1">
                  <c:v>1.9999950000000002E-5</c:v>
                </c:pt>
                <c:pt idx="2">
                  <c:v>2.9999925000000002E-5</c:v>
                </c:pt>
                <c:pt idx="3">
                  <c:v>3.9999900000000003E-5</c:v>
                </c:pt>
                <c:pt idx="4">
                  <c:v>4.9999875000000007E-5</c:v>
                </c:pt>
                <c:pt idx="5">
                  <c:v>5.9999850000000005E-5</c:v>
                </c:pt>
                <c:pt idx="6">
                  <c:v>6.9999825000000002E-5</c:v>
                </c:pt>
                <c:pt idx="7">
                  <c:v>7.9999800000000006E-5</c:v>
                </c:pt>
                <c:pt idx="8">
                  <c:v>8.999977500000001E-5</c:v>
                </c:pt>
                <c:pt idx="9">
                  <c:v>9.9999750000000014E-5</c:v>
                </c:pt>
                <c:pt idx="10">
                  <c:v>1.9999950000000003E-4</c:v>
                </c:pt>
                <c:pt idx="11">
                  <c:v>2.9999925000000004E-4</c:v>
                </c:pt>
                <c:pt idx="12">
                  <c:v>3.9999900000000006E-4</c:v>
                </c:pt>
                <c:pt idx="13">
                  <c:v>4.9999875000000002E-4</c:v>
                </c:pt>
                <c:pt idx="14">
                  <c:v>5.9999850000000009E-4</c:v>
                </c:pt>
                <c:pt idx="15">
                  <c:v>6.9999825000000005E-4</c:v>
                </c:pt>
                <c:pt idx="16">
                  <c:v>7.9999800000000012E-4</c:v>
                </c:pt>
                <c:pt idx="17">
                  <c:v>8.9999775000000008E-4</c:v>
                </c:pt>
                <c:pt idx="18">
                  <c:v>9.9999750000000004E-4</c:v>
                </c:pt>
                <c:pt idx="19">
                  <c:v>1.9999950000000001E-3</c:v>
                </c:pt>
                <c:pt idx="20">
                  <c:v>2.9999925000000005E-3</c:v>
                </c:pt>
                <c:pt idx="21">
                  <c:v>3.9999900000000001E-3</c:v>
                </c:pt>
                <c:pt idx="22">
                  <c:v>4.9999875000000006E-3</c:v>
                </c:pt>
                <c:pt idx="23">
                  <c:v>5.9999850000000011E-3</c:v>
                </c:pt>
                <c:pt idx="24">
                  <c:v>6.9999825000000007E-3</c:v>
                </c:pt>
                <c:pt idx="25">
                  <c:v>7.9999800000000003E-3</c:v>
                </c:pt>
                <c:pt idx="26">
                  <c:v>8.9999775000000008E-3</c:v>
                </c:pt>
                <c:pt idx="27">
                  <c:v>9.9999750000000012E-3</c:v>
                </c:pt>
                <c:pt idx="28">
                  <c:v>1.9999950000000002E-2</c:v>
                </c:pt>
                <c:pt idx="29">
                  <c:v>2.9999925000000004E-2</c:v>
                </c:pt>
                <c:pt idx="30">
                  <c:v>3.9999900000000005E-2</c:v>
                </c:pt>
                <c:pt idx="31">
                  <c:v>4.9999875000000006E-2</c:v>
                </c:pt>
                <c:pt idx="32">
                  <c:v>5.9999850000000007E-2</c:v>
                </c:pt>
                <c:pt idx="33">
                  <c:v>6.9999825000000002E-2</c:v>
                </c:pt>
                <c:pt idx="34">
                  <c:v>7.999980000000001E-2</c:v>
                </c:pt>
                <c:pt idx="35">
                  <c:v>8.9999775000000004E-2</c:v>
                </c:pt>
                <c:pt idx="36">
                  <c:v>9.9999750000000012E-2</c:v>
                </c:pt>
                <c:pt idx="37">
                  <c:v>0.19999950000000002</c:v>
                </c:pt>
                <c:pt idx="38">
                  <c:v>0.29999925000000005</c:v>
                </c:pt>
                <c:pt idx="39">
                  <c:v>0.39999900000000005</c:v>
                </c:pt>
                <c:pt idx="40">
                  <c:v>0.49999875000000005</c:v>
                </c:pt>
                <c:pt idx="41">
                  <c:v>0.5999985000000001</c:v>
                </c:pt>
                <c:pt idx="42">
                  <c:v>0.69999825000000004</c:v>
                </c:pt>
                <c:pt idx="43">
                  <c:v>0.7999980000000001</c:v>
                </c:pt>
                <c:pt idx="44">
                  <c:v>0.89999775000000004</c:v>
                </c:pt>
                <c:pt idx="45">
                  <c:v>0.99999750000000009</c:v>
                </c:pt>
                <c:pt idx="46">
                  <c:v>1.9999950000000002</c:v>
                </c:pt>
                <c:pt idx="47">
                  <c:v>2.9999925000000003</c:v>
                </c:pt>
                <c:pt idx="48">
                  <c:v>3.9999900000000004</c:v>
                </c:pt>
                <c:pt idx="49">
                  <c:v>4.9999875000000005</c:v>
                </c:pt>
                <c:pt idx="50">
                  <c:v>5.9999850000000006</c:v>
                </c:pt>
                <c:pt idx="51">
                  <c:v>6.9999825000000007</c:v>
                </c:pt>
                <c:pt idx="52">
                  <c:v>7.9999800000000008</c:v>
                </c:pt>
                <c:pt idx="53">
                  <c:v>8.9999775</c:v>
                </c:pt>
                <c:pt idx="54">
                  <c:v>9.9999750000000009</c:v>
                </c:pt>
                <c:pt idx="55">
                  <c:v>19.999950000000002</c:v>
                </c:pt>
                <c:pt idx="56">
                  <c:v>29.999925000000005</c:v>
                </c:pt>
                <c:pt idx="57">
                  <c:v>39.999900000000004</c:v>
                </c:pt>
                <c:pt idx="58">
                  <c:v>49.999875000000003</c:v>
                </c:pt>
                <c:pt idx="59">
                  <c:v>59.999850000000009</c:v>
                </c:pt>
                <c:pt idx="60">
                  <c:v>69.999825000000001</c:v>
                </c:pt>
                <c:pt idx="61">
                  <c:v>79.999800000000008</c:v>
                </c:pt>
                <c:pt idx="62">
                  <c:v>89.999775</c:v>
                </c:pt>
                <c:pt idx="63">
                  <c:v>99.999750000000006</c:v>
                </c:pt>
                <c:pt idx="64">
                  <c:v>199.99950000000001</c:v>
                </c:pt>
                <c:pt idx="65">
                  <c:v>299.99925000000007</c:v>
                </c:pt>
                <c:pt idx="66">
                  <c:v>399.99900000000002</c:v>
                </c:pt>
                <c:pt idx="67">
                  <c:v>499.99875000000003</c:v>
                </c:pt>
                <c:pt idx="68">
                  <c:v>599.99850000000015</c:v>
                </c:pt>
                <c:pt idx="69">
                  <c:v>699.99824999999998</c:v>
                </c:pt>
                <c:pt idx="70">
                  <c:v>799.99800000000005</c:v>
                </c:pt>
                <c:pt idx="71">
                  <c:v>899.99775</c:v>
                </c:pt>
                <c:pt idx="72">
                  <c:v>999.99750000000006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</c:numCache>
            </c:numRef>
          </c:xVal>
          <c:yVal>
            <c:numRef>
              <c:f>'dbg02'!$H$92:$H$172</c:f>
              <c:numCache>
                <c:formatCode>0.000.E+00</c:formatCode>
                <c:ptCount val="81"/>
                <c:pt idx="0">
                  <c:v>8.9999999999999998E-4</c:v>
                </c:pt>
                <c:pt idx="1">
                  <c:v>1.1999990000000002E-3</c:v>
                </c:pt>
                <c:pt idx="2">
                  <c:v>1.4999970000000003E-3</c:v>
                </c:pt>
                <c:pt idx="3">
                  <c:v>1.7000000000000001E-3</c:v>
                </c:pt>
                <c:pt idx="4">
                  <c:v>1.8999975E-3</c:v>
                </c:pt>
                <c:pt idx="5">
                  <c:v>2.1599976000000001E-3</c:v>
                </c:pt>
                <c:pt idx="6">
                  <c:v>2.3199971999999999E-3</c:v>
                </c:pt>
                <c:pt idx="7">
                  <c:v>2.4799968000000002E-3</c:v>
                </c:pt>
                <c:pt idx="8">
                  <c:v>2.6399964000000001E-3</c:v>
                </c:pt>
                <c:pt idx="9">
                  <c:v>2.8999920000000005E-3</c:v>
                </c:pt>
                <c:pt idx="10">
                  <c:v>4.2999940000000006E-3</c:v>
                </c:pt>
                <c:pt idx="11">
                  <c:v>5.5999910000000003E-3</c:v>
                </c:pt>
                <c:pt idx="12">
                  <c:v>6.7999880000000007E-3</c:v>
                </c:pt>
                <c:pt idx="13">
                  <c:v>7.8999875000000004E-3</c:v>
                </c:pt>
                <c:pt idx="14">
                  <c:v>9.0199832000000014E-3</c:v>
                </c:pt>
                <c:pt idx="15">
                  <c:v>1.0039980400000002E-2</c:v>
                </c:pt>
                <c:pt idx="16">
                  <c:v>1.10799808E-2</c:v>
                </c:pt>
                <c:pt idx="17">
                  <c:v>1.20399784E-2</c:v>
                </c:pt>
                <c:pt idx="18">
                  <c:v>1.2999976000000002E-2</c:v>
                </c:pt>
                <c:pt idx="19">
                  <c:v>2.2299954E-2</c:v>
                </c:pt>
                <c:pt idx="20">
                  <c:v>3.0899937000000006E-2</c:v>
                </c:pt>
                <c:pt idx="21">
                  <c:v>3.8899920000000004E-2</c:v>
                </c:pt>
                <c:pt idx="22">
                  <c:v>4.6599905000000004E-2</c:v>
                </c:pt>
                <c:pt idx="23">
                  <c:v>5.4059889600000008E-2</c:v>
                </c:pt>
                <c:pt idx="24">
                  <c:v>6.1319871199999994E-2</c:v>
                </c:pt>
                <c:pt idx="25">
                  <c:v>6.8519859199999991E-2</c:v>
                </c:pt>
                <c:pt idx="26">
                  <c:v>7.5519845200000019E-2</c:v>
                </c:pt>
                <c:pt idx="27">
                  <c:v>8.2399828000000008E-2</c:v>
                </c:pt>
                <c:pt idx="28">
                  <c:v>0.140799744</c:v>
                </c:pt>
                <c:pt idx="29">
                  <c:v>0.18229972699999999</c:v>
                </c:pt>
                <c:pt idx="30">
                  <c:v>0.21279972400000002</c:v>
                </c:pt>
                <c:pt idx="31">
                  <c:v>0.23649972000000002</c:v>
                </c:pt>
                <c:pt idx="32">
                  <c:v>0.25549973600000003</c:v>
                </c:pt>
                <c:pt idx="33">
                  <c:v>0.27159974799999997</c:v>
                </c:pt>
                <c:pt idx="34">
                  <c:v>0.28535973760000005</c:v>
                </c:pt>
                <c:pt idx="35">
                  <c:v>0.2973597516</c:v>
                </c:pt>
                <c:pt idx="36">
                  <c:v>0.30799974000000002</c:v>
                </c:pt>
                <c:pt idx="37">
                  <c:v>0.37439975400000003</c:v>
                </c:pt>
                <c:pt idx="38">
                  <c:v>0.41069977200000002</c:v>
                </c:pt>
                <c:pt idx="39">
                  <c:v>0.43579977599999997</c:v>
                </c:pt>
                <c:pt idx="40">
                  <c:v>0.45529976999999999</c:v>
                </c:pt>
                <c:pt idx="41">
                  <c:v>0.47123977439999998</c:v>
                </c:pt>
                <c:pt idx="42">
                  <c:v>0.48521977320000004</c:v>
                </c:pt>
                <c:pt idx="43">
                  <c:v>0.49769975999999999</c:v>
                </c:pt>
                <c:pt idx="44">
                  <c:v>0.50911975519999997</c:v>
                </c:pt>
                <c:pt idx="45">
                  <c:v>0.51969974000000008</c:v>
                </c:pt>
                <c:pt idx="46">
                  <c:v>0.60479961400000004</c:v>
                </c:pt>
                <c:pt idx="47">
                  <c:v>0.67879944800000014</c:v>
                </c:pt>
                <c:pt idx="48">
                  <c:v>0.75349924000000013</c:v>
                </c:pt>
                <c:pt idx="49">
                  <c:v>0.83199900500000012</c:v>
                </c:pt>
                <c:pt idx="50">
                  <c:v>0.91581871120000002</c:v>
                </c:pt>
                <c:pt idx="51">
                  <c:v>1.0046384124000001</c:v>
                </c:pt>
                <c:pt idx="52">
                  <c:v>1.0979980800000002</c:v>
                </c:pt>
                <c:pt idx="53">
                  <c:v>1.20399784</c:v>
                </c:pt>
                <c:pt idx="54">
                  <c:v>1.3099972000000002</c:v>
                </c:pt>
                <c:pt idx="55">
                  <c:v>2.6899922000000003</c:v>
                </c:pt>
                <c:pt idx="56">
                  <c:v>4.5999844000000003</c:v>
                </c:pt>
                <c:pt idx="57">
                  <c:v>6.9499748000000015</c:v>
                </c:pt>
                <c:pt idx="58">
                  <c:v>9.7099642500000023</c:v>
                </c:pt>
                <c:pt idx="59">
                  <c:v>12.887950080000003</c:v>
                </c:pt>
                <c:pt idx="60">
                  <c:v>16.423933640000001</c:v>
                </c:pt>
                <c:pt idx="61">
                  <c:v>20.335919360000002</c:v>
                </c:pt>
                <c:pt idx="62">
                  <c:v>24.591899919999999</c:v>
                </c:pt>
                <c:pt idx="63">
                  <c:v>29.169883600000006</c:v>
                </c:pt>
                <c:pt idx="64">
                  <c:v>89.909652200000011</c:v>
                </c:pt>
                <c:pt idx="65">
                  <c:v>170.10935770000009</c:v>
                </c:pt>
                <c:pt idx="66">
                  <c:v>262.38904360000004</c:v>
                </c:pt>
                <c:pt idx="67">
                  <c:v>362.11873550000001</c:v>
                </c:pt>
                <c:pt idx="68">
                  <c:v>466.36641888000014</c:v>
                </c:pt>
                <c:pt idx="69">
                  <c:v>572.74612288000003</c:v>
                </c:pt>
                <c:pt idx="70">
                  <c:v>680.1378496000001</c:v>
                </c:pt>
                <c:pt idx="71">
                  <c:v>787.5175898</c:v>
                </c:pt>
                <c:pt idx="72">
                  <c:v>894.30733520000001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EB6-4EBD-B02F-758B08D03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692240"/>
        <c:axId val="464691456"/>
      </c:scatterChart>
      <c:valAx>
        <c:axId val="464692240"/>
        <c:scaling>
          <c:logBase val="10"/>
          <c:orientation val="minMax"/>
        </c:scaling>
        <c:delete val="0"/>
        <c:axPos val="b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</c:majorGridlines>
        <c:minorGridlines>
          <c:spPr>
            <a:ln>
              <a:solidFill>
                <a:srgbClr val="CCECFF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</a:t>
                </a:r>
                <a:r>
                  <a:rPr lang="en-US" baseline="0"/>
                  <a:t> beam</a:t>
                </a:r>
                <a:r>
                  <a:rPr lang="en-US"/>
                  <a:t> [MeV/A]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75284210733010004"/>
              <c:y val="0.85150558734337511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cross"/>
        <c:minorTickMark val="in"/>
        <c:tickLblPos val="nextTo"/>
        <c:txPr>
          <a:bodyPr/>
          <a:lstStyle/>
          <a:p>
            <a:pPr>
              <a:defRPr b="1"/>
            </a:pPr>
            <a:endParaRPr lang="ja-JP"/>
          </a:p>
        </c:txPr>
        <c:crossAx val="464691456"/>
        <c:crosses val="autoZero"/>
        <c:crossBetween val="midCat"/>
      </c:valAx>
      <c:valAx>
        <c:axId val="464691456"/>
        <c:scaling>
          <c:logBase val="10"/>
          <c:orientation val="minMax"/>
        </c:scaling>
        <c:delete val="0"/>
        <c:axPos val="l"/>
        <c:majorGridlines>
          <c:spPr>
            <a:ln w="12700">
              <a:solidFill>
                <a:schemeClr val="tx2"/>
              </a:solidFill>
              <a:prstDash val="sysDash"/>
            </a:ln>
          </c:spPr>
        </c:majorGridlines>
        <c:min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Range, Straggling [</a:t>
                </a:r>
                <a:r>
                  <a:rPr lang="en-US" altLang="ja-JP">
                    <a:solidFill>
                      <a:schemeClr val="tx1"/>
                    </a:solidFill>
                  </a:rPr>
                  <a:t>μm]</a:t>
                </a:r>
                <a:endParaRPr lang="ja-JP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7.6543287450664674E-2"/>
              <c:y val="5.6227334871777848E-2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cross"/>
        <c:minorTickMark val="out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b="1">
                <a:solidFill>
                  <a:schemeClr val="tx1"/>
                </a:solidFill>
              </a:defRPr>
            </a:pPr>
            <a:endParaRPr lang="ja-JP"/>
          </a:p>
        </c:txPr>
        <c:crossAx val="464692240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6444263357354644"/>
          <c:y val="0.1704548603994088"/>
          <c:w val="0.28994361446264111"/>
          <c:h val="0.15190154848491033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  <c:showDLblsOverMax val="0"/>
  </c:chart>
  <c:spPr>
    <a:solidFill>
      <a:schemeClr val="bg1"/>
    </a:solidFill>
    <a:ln w="3175">
      <a:noFill/>
    </a:ln>
  </c:spPr>
  <c:txPr>
    <a:bodyPr/>
    <a:lstStyle/>
    <a:p>
      <a:pPr>
        <a:defRPr baseline="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n-US" sz="1000" b="1"/>
              <a:t>dEdXt</a:t>
            </a:r>
          </a:p>
        </c:rich>
      </c:tx>
      <c:layout>
        <c:manualLayout>
          <c:xMode val="edge"/>
          <c:yMode val="edge"/>
          <c:x val="0.30772638888888892"/>
          <c:y val="0.73157407407407404"/>
        </c:manualLayout>
      </c:layout>
      <c:overlay val="1"/>
      <c:spPr>
        <a:solidFill>
          <a:schemeClr val="bg1"/>
        </a:solidFill>
        <a:ln>
          <a:solidFill>
            <a:srgbClr val="00B05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7963194444444439"/>
          <c:y val="5.4876388888888891E-2"/>
          <c:w val="0.66157175925925926"/>
          <c:h val="0.7924847222222221"/>
        </c:manualLayout>
      </c:layout>
      <c:scatterChart>
        <c:scatterStyle val="lineMarker"/>
        <c:varyColors val="0"/>
        <c:ser>
          <c:idx val="3"/>
          <c:order val="0"/>
          <c:tx>
            <c:v>tbl</c:v>
          </c:tx>
          <c:spPr>
            <a:ln w="12700">
              <a:solidFill>
                <a:srgbClr val="006600"/>
              </a:solidFill>
            </a:ln>
          </c:spPr>
          <c:marker>
            <c:symbol val="circle"/>
            <c:size val="5"/>
            <c:spPr>
              <a:noFill/>
              <a:ln>
                <a:solidFill>
                  <a:srgbClr val="006600"/>
                </a:solidFill>
              </a:ln>
            </c:spPr>
          </c:marker>
          <c:xVal>
            <c:numRef>
              <c:f>'dbg10'!$C$24:$C$28</c:f>
              <c:numCache>
                <c:formatCode>0.0000000_ </c:formatCode>
                <c:ptCount val="5"/>
                <c:pt idx="0">
                  <c:v>1</c:v>
                </c:pt>
                <c:pt idx="1">
                  <c:v>1.125</c:v>
                </c:pt>
                <c:pt idx="2">
                  <c:v>1.25</c:v>
                </c:pt>
                <c:pt idx="3">
                  <c:v>1.375</c:v>
                </c:pt>
                <c:pt idx="4">
                  <c:v>1.5</c:v>
                </c:pt>
              </c:numCache>
            </c:numRef>
          </c:xVal>
          <c:yVal>
            <c:numRef>
              <c:f>'dbg10'!$F$24:$F$28</c:f>
              <c:numCache>
                <c:formatCode>0.000E+00</c:formatCode>
                <c:ptCount val="5"/>
                <c:pt idx="0">
                  <c:v>18.610510000000001</c:v>
                </c:pt>
                <c:pt idx="1">
                  <c:v>18.666679999999999</c:v>
                </c:pt>
                <c:pt idx="2">
                  <c:v>18.663550000000001</c:v>
                </c:pt>
                <c:pt idx="3">
                  <c:v>18.620950000000001</c:v>
                </c:pt>
                <c:pt idx="4">
                  <c:v>18.538740000000001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E1C-415E-911C-0055642095BA}"/>
            </c:ext>
          </c:extLst>
        </c:ser>
        <c:ser>
          <c:idx val="0"/>
          <c:order val="1"/>
          <c:tx>
            <c:v>val</c:v>
          </c:tx>
          <c:spPr>
            <a:ln>
              <a:noFill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'dbg10'!$C$36</c:f>
              <c:numCache>
                <c:formatCode>0.00_ </c:formatCode>
                <c:ptCount val="1"/>
                <c:pt idx="0">
                  <c:v>1.2</c:v>
                </c:pt>
              </c:numCache>
            </c:numRef>
          </c:xVal>
          <c:yVal>
            <c:numRef>
              <c:f>'dbg10'!$F$36</c:f>
              <c:numCache>
                <c:formatCode>0.000E+00</c:formatCode>
                <c:ptCount val="1"/>
                <c:pt idx="0">
                  <c:v>18.664802000000002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1C-415E-911C-005564209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691848"/>
        <c:axId val="464690672"/>
      </c:scatterChart>
      <c:valAx>
        <c:axId val="46469184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</c:majorGridlines>
        <c:minorGridlines>
          <c:spPr>
            <a:ln>
              <a:solidFill>
                <a:srgbClr val="CCECFF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800"/>
                </a:pPr>
                <a:r>
                  <a:rPr lang="en-US" sz="800"/>
                  <a:t>E beam [MeV/A]</a:t>
                </a:r>
                <a:endParaRPr lang="ja-JP" sz="800"/>
              </a:p>
            </c:rich>
          </c:tx>
          <c:layout>
            <c:manualLayout>
              <c:xMode val="edge"/>
              <c:yMode val="edge"/>
              <c:x val="0.42526250000000004"/>
              <c:y val="0.91768518518518516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cross"/>
        <c:minorTickMark val="in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4690672"/>
        <c:crosses val="autoZero"/>
        <c:crossBetween val="midCat"/>
      </c:valAx>
      <c:valAx>
        <c:axId val="464690672"/>
        <c:scaling>
          <c:orientation val="minMax"/>
        </c:scaling>
        <c:delete val="0"/>
        <c:axPos val="l"/>
        <c:majorGridlines>
          <c:spPr>
            <a:ln w="12700">
              <a:solidFill>
                <a:schemeClr val="tx2"/>
              </a:solidFill>
              <a:prstDash val="sysDash"/>
            </a:ln>
          </c:spPr>
        </c:majorGridlines>
        <c:min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800"/>
                </a:pPr>
                <a:r>
                  <a:rPr lang="en-US" sz="800"/>
                  <a:t>dE/dX </a:t>
                </a:r>
                <a:endParaRPr lang="ja-JP" sz="800"/>
              </a:p>
            </c:rich>
          </c:tx>
          <c:layout>
            <c:manualLayout>
              <c:xMode val="edge"/>
              <c:yMode val="edge"/>
              <c:x val="1.1006481481481482E-2"/>
              <c:y val="0.83159398148148156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cross"/>
        <c:minorTickMark val="out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464691848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</a:ln>
  </c:spPr>
  <c:txPr>
    <a:bodyPr/>
    <a:lstStyle/>
    <a:p>
      <a:pPr>
        <a:defRPr b="0" baseline="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n-US" sz="1000" b="1"/>
              <a:t>dEdXe</a:t>
            </a:r>
          </a:p>
        </c:rich>
      </c:tx>
      <c:layout>
        <c:manualLayout>
          <c:xMode val="edge"/>
          <c:yMode val="edge"/>
          <c:x val="0.30772638888888892"/>
          <c:y val="0.73157407407407404"/>
        </c:manualLayout>
      </c:layout>
      <c:overlay val="1"/>
      <c:spPr>
        <a:solidFill>
          <a:schemeClr val="bg1"/>
        </a:solidFill>
        <a:ln>
          <a:solidFill>
            <a:srgbClr val="00B05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7963194444444439"/>
          <c:y val="5.4876388888888891E-2"/>
          <c:w val="0.66157175925925926"/>
          <c:h val="0.7924847222222221"/>
        </c:manualLayout>
      </c:layout>
      <c:scatterChart>
        <c:scatterStyle val="lineMarker"/>
        <c:varyColors val="0"/>
        <c:ser>
          <c:idx val="3"/>
          <c:order val="0"/>
          <c:tx>
            <c:v>tbl</c:v>
          </c:tx>
          <c:spPr>
            <a:ln w="12700">
              <a:solidFill>
                <a:srgbClr val="006600"/>
              </a:solidFill>
            </a:ln>
          </c:spPr>
          <c:marker>
            <c:symbol val="circle"/>
            <c:size val="5"/>
            <c:spPr>
              <a:noFill/>
              <a:ln>
                <a:solidFill>
                  <a:srgbClr val="006600"/>
                </a:solidFill>
              </a:ln>
            </c:spPr>
          </c:marker>
          <c:xVal>
            <c:numRef>
              <c:f>'dbg10'!$C$24:$C$28</c:f>
              <c:numCache>
                <c:formatCode>0.0000000_ </c:formatCode>
                <c:ptCount val="5"/>
                <c:pt idx="0">
                  <c:v>1</c:v>
                </c:pt>
                <c:pt idx="1">
                  <c:v>1.125</c:v>
                </c:pt>
                <c:pt idx="2">
                  <c:v>1.25</c:v>
                </c:pt>
                <c:pt idx="3">
                  <c:v>1.375</c:v>
                </c:pt>
                <c:pt idx="4">
                  <c:v>1.5</c:v>
                </c:pt>
              </c:numCache>
            </c:numRef>
          </c:xVal>
          <c:yVal>
            <c:numRef>
              <c:f>'dbg10'!$D$24:$D$28</c:f>
              <c:numCache>
                <c:formatCode>0.000E+00</c:formatCode>
                <c:ptCount val="5"/>
                <c:pt idx="0">
                  <c:v>18.57</c:v>
                </c:pt>
                <c:pt idx="1">
                  <c:v>18.63</c:v>
                </c:pt>
                <c:pt idx="2">
                  <c:v>18.63</c:v>
                </c:pt>
                <c:pt idx="3">
                  <c:v>18.59</c:v>
                </c:pt>
                <c:pt idx="4">
                  <c:v>18.510000000000002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8AF-406E-ADC4-6788DB0416FB}"/>
            </c:ext>
          </c:extLst>
        </c:ser>
        <c:ser>
          <c:idx val="0"/>
          <c:order val="1"/>
          <c:tx>
            <c:v>val</c:v>
          </c:tx>
          <c:spPr>
            <a:ln>
              <a:noFill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'dbg10'!$C$36</c:f>
              <c:numCache>
                <c:formatCode>0.00_ </c:formatCode>
                <c:ptCount val="1"/>
                <c:pt idx="0">
                  <c:v>1.2</c:v>
                </c:pt>
              </c:numCache>
            </c:numRef>
          </c:xVal>
          <c:yVal>
            <c:numRef>
              <c:f>'dbg10'!$D$36</c:f>
              <c:numCache>
                <c:formatCode>0.000E+00</c:formatCode>
                <c:ptCount val="1"/>
                <c:pt idx="0">
                  <c:v>18.63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AF-406E-ADC4-6788DB041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693024"/>
        <c:axId val="464686752"/>
      </c:scatterChart>
      <c:valAx>
        <c:axId val="46469302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</c:majorGridlines>
        <c:minorGridlines>
          <c:spPr>
            <a:ln>
              <a:solidFill>
                <a:srgbClr val="CCECFF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800"/>
                </a:pPr>
                <a:r>
                  <a:rPr lang="en-US" sz="800"/>
                  <a:t>E beam [MeV/A]</a:t>
                </a:r>
                <a:endParaRPr lang="ja-JP" sz="800"/>
              </a:p>
            </c:rich>
          </c:tx>
          <c:layout>
            <c:manualLayout>
              <c:xMode val="edge"/>
              <c:yMode val="edge"/>
              <c:x val="0.42526250000000004"/>
              <c:y val="0.91768518518518516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cross"/>
        <c:minorTickMark val="in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4686752"/>
        <c:crosses val="autoZero"/>
        <c:crossBetween val="midCat"/>
      </c:valAx>
      <c:valAx>
        <c:axId val="464686752"/>
        <c:scaling>
          <c:orientation val="minMax"/>
        </c:scaling>
        <c:delete val="0"/>
        <c:axPos val="l"/>
        <c:majorGridlines>
          <c:spPr>
            <a:ln w="12700">
              <a:solidFill>
                <a:schemeClr val="tx2"/>
              </a:solidFill>
              <a:prstDash val="sysDash"/>
            </a:ln>
          </c:spPr>
        </c:majorGridlines>
        <c:min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800"/>
                </a:pPr>
                <a:r>
                  <a:rPr lang="en-US" sz="800"/>
                  <a:t>dE/dX </a:t>
                </a:r>
                <a:endParaRPr lang="ja-JP" sz="800"/>
              </a:p>
            </c:rich>
          </c:tx>
          <c:layout>
            <c:manualLayout>
              <c:xMode val="edge"/>
              <c:yMode val="edge"/>
              <c:x val="1.1006481481481482E-2"/>
              <c:y val="0.83159398148148156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cross"/>
        <c:minorTickMark val="out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464693024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</a:ln>
  </c:spPr>
  <c:txPr>
    <a:bodyPr/>
    <a:lstStyle/>
    <a:p>
      <a:pPr>
        <a:defRPr b="0" baseline="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n-US" sz="1000" b="1"/>
              <a:t>dEdXn</a:t>
            </a:r>
          </a:p>
        </c:rich>
      </c:tx>
      <c:layout>
        <c:manualLayout>
          <c:xMode val="edge"/>
          <c:yMode val="edge"/>
          <c:x val="0.30772638888888892"/>
          <c:y val="0.73157407407407404"/>
        </c:manualLayout>
      </c:layout>
      <c:overlay val="1"/>
      <c:spPr>
        <a:solidFill>
          <a:schemeClr val="bg1"/>
        </a:solidFill>
        <a:ln>
          <a:solidFill>
            <a:srgbClr val="00B05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7963194444444439"/>
          <c:y val="5.4876388888888891E-2"/>
          <c:w val="0.66157175925925926"/>
          <c:h val="0.7924847222222221"/>
        </c:manualLayout>
      </c:layout>
      <c:scatterChart>
        <c:scatterStyle val="lineMarker"/>
        <c:varyColors val="0"/>
        <c:ser>
          <c:idx val="3"/>
          <c:order val="0"/>
          <c:tx>
            <c:v>tbl</c:v>
          </c:tx>
          <c:spPr>
            <a:ln w="12700">
              <a:solidFill>
                <a:srgbClr val="006600"/>
              </a:solidFill>
            </a:ln>
          </c:spPr>
          <c:marker>
            <c:symbol val="circle"/>
            <c:size val="5"/>
            <c:spPr>
              <a:noFill/>
              <a:ln>
                <a:solidFill>
                  <a:srgbClr val="006600"/>
                </a:solidFill>
              </a:ln>
            </c:spPr>
          </c:marker>
          <c:xVal>
            <c:numRef>
              <c:f>'dbg10'!$C$24:$C$28</c:f>
              <c:numCache>
                <c:formatCode>0.0000000_ </c:formatCode>
                <c:ptCount val="5"/>
                <c:pt idx="0">
                  <c:v>1</c:v>
                </c:pt>
                <c:pt idx="1">
                  <c:v>1.125</c:v>
                </c:pt>
                <c:pt idx="2">
                  <c:v>1.25</c:v>
                </c:pt>
                <c:pt idx="3">
                  <c:v>1.375</c:v>
                </c:pt>
                <c:pt idx="4">
                  <c:v>1.5</c:v>
                </c:pt>
              </c:numCache>
            </c:numRef>
          </c:xVal>
          <c:yVal>
            <c:numRef>
              <c:f>'dbg10'!$E$24:$E$28</c:f>
              <c:numCache>
                <c:formatCode>0.000E+00</c:formatCode>
                <c:ptCount val="5"/>
                <c:pt idx="0">
                  <c:v>4.0509999999999997E-2</c:v>
                </c:pt>
                <c:pt idx="1">
                  <c:v>3.6679999999999997E-2</c:v>
                </c:pt>
                <c:pt idx="2">
                  <c:v>3.3550000000000003E-2</c:v>
                </c:pt>
                <c:pt idx="3">
                  <c:v>3.0949999999999998E-2</c:v>
                </c:pt>
                <c:pt idx="4">
                  <c:v>2.8740000000000002E-2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450-4F64-AF80-35CADEF9D947}"/>
            </c:ext>
          </c:extLst>
        </c:ser>
        <c:ser>
          <c:idx val="0"/>
          <c:order val="1"/>
          <c:tx>
            <c:v>val</c:v>
          </c:tx>
          <c:spPr>
            <a:ln>
              <a:noFill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'dbg10'!$C$36</c:f>
              <c:numCache>
                <c:formatCode>0.00_ </c:formatCode>
                <c:ptCount val="1"/>
                <c:pt idx="0">
                  <c:v>1.2</c:v>
                </c:pt>
              </c:numCache>
            </c:numRef>
          </c:xVal>
          <c:yVal>
            <c:numRef>
              <c:f>'dbg10'!$E$36</c:f>
              <c:numCache>
                <c:formatCode>0.000E+00</c:formatCode>
                <c:ptCount val="1"/>
                <c:pt idx="0">
                  <c:v>3.4802E-2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450-4F64-AF80-35CADEF9D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694984"/>
        <c:axId val="464691064"/>
      </c:scatterChart>
      <c:valAx>
        <c:axId val="46469498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</c:majorGridlines>
        <c:minorGridlines>
          <c:spPr>
            <a:ln>
              <a:solidFill>
                <a:srgbClr val="CCECFF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800"/>
                </a:pPr>
                <a:r>
                  <a:rPr lang="en-US" sz="800"/>
                  <a:t>E beam [MeV/A]</a:t>
                </a:r>
                <a:endParaRPr lang="ja-JP" sz="800"/>
              </a:p>
            </c:rich>
          </c:tx>
          <c:layout>
            <c:manualLayout>
              <c:xMode val="edge"/>
              <c:yMode val="edge"/>
              <c:x val="0.42526250000000004"/>
              <c:y val="0.91768518518518516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cross"/>
        <c:minorTickMark val="in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4691064"/>
        <c:crosses val="autoZero"/>
        <c:crossBetween val="midCat"/>
      </c:valAx>
      <c:valAx>
        <c:axId val="464691064"/>
        <c:scaling>
          <c:orientation val="minMax"/>
        </c:scaling>
        <c:delete val="0"/>
        <c:axPos val="l"/>
        <c:majorGridlines>
          <c:spPr>
            <a:ln w="12700">
              <a:solidFill>
                <a:schemeClr val="tx2"/>
              </a:solidFill>
              <a:prstDash val="sysDash"/>
            </a:ln>
          </c:spPr>
        </c:majorGridlines>
        <c:min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800"/>
                </a:pPr>
                <a:r>
                  <a:rPr lang="en-US" sz="800"/>
                  <a:t>dE/dX </a:t>
                </a:r>
                <a:endParaRPr lang="ja-JP" sz="800"/>
              </a:p>
            </c:rich>
          </c:tx>
          <c:layout>
            <c:manualLayout>
              <c:xMode val="edge"/>
              <c:yMode val="edge"/>
              <c:x val="1.1006481481481482E-2"/>
              <c:y val="0.83159398148148156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cross"/>
        <c:minorTickMark val="out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464694984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</a:ln>
  </c:spPr>
  <c:txPr>
    <a:bodyPr/>
    <a:lstStyle/>
    <a:p>
      <a:pPr>
        <a:defRPr b="0" baseline="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n-US" sz="1000" b="1"/>
              <a:t>Rng</a:t>
            </a:r>
          </a:p>
        </c:rich>
      </c:tx>
      <c:layout>
        <c:manualLayout>
          <c:xMode val="edge"/>
          <c:yMode val="edge"/>
          <c:x val="0.30772638888888892"/>
          <c:y val="0.73157407407407404"/>
        </c:manualLayout>
      </c:layout>
      <c:overlay val="1"/>
      <c:spPr>
        <a:solidFill>
          <a:schemeClr val="bg1"/>
        </a:solidFill>
        <a:ln>
          <a:solidFill>
            <a:srgbClr val="00B05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7963194444444439"/>
          <c:y val="5.4876388888888891E-2"/>
          <c:w val="0.66157175925925926"/>
          <c:h val="0.7924847222222221"/>
        </c:manualLayout>
      </c:layout>
      <c:scatterChart>
        <c:scatterStyle val="lineMarker"/>
        <c:varyColors val="0"/>
        <c:ser>
          <c:idx val="3"/>
          <c:order val="0"/>
          <c:tx>
            <c:v>tbl</c:v>
          </c:tx>
          <c:spPr>
            <a:ln w="12700">
              <a:solidFill>
                <a:srgbClr val="006600"/>
              </a:solidFill>
            </a:ln>
          </c:spPr>
          <c:marker>
            <c:symbol val="circle"/>
            <c:size val="5"/>
            <c:spPr>
              <a:noFill/>
              <a:ln>
                <a:solidFill>
                  <a:srgbClr val="006600"/>
                </a:solidFill>
              </a:ln>
            </c:spPr>
          </c:marker>
          <c:xVal>
            <c:numRef>
              <c:f>'dbg10'!$C$24:$C$28</c:f>
              <c:numCache>
                <c:formatCode>0.0000000_ </c:formatCode>
                <c:ptCount val="5"/>
                <c:pt idx="0">
                  <c:v>1</c:v>
                </c:pt>
                <c:pt idx="1">
                  <c:v>1.125</c:v>
                </c:pt>
                <c:pt idx="2">
                  <c:v>1.25</c:v>
                </c:pt>
                <c:pt idx="3">
                  <c:v>1.375</c:v>
                </c:pt>
                <c:pt idx="4">
                  <c:v>1.5</c:v>
                </c:pt>
              </c:numCache>
            </c:numRef>
          </c:xVal>
          <c:yVal>
            <c:numRef>
              <c:f>'dbg10'!$G$24:$G$28</c:f>
              <c:numCache>
                <c:formatCode>0.0000</c:formatCode>
                <c:ptCount val="5"/>
                <c:pt idx="0">
                  <c:v>12.54</c:v>
                </c:pt>
                <c:pt idx="1">
                  <c:v>13.7</c:v>
                </c:pt>
                <c:pt idx="2">
                  <c:v>14.85</c:v>
                </c:pt>
                <c:pt idx="3">
                  <c:v>16</c:v>
                </c:pt>
                <c:pt idx="4">
                  <c:v>17.16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E5B-4017-8E57-1EF6F0A51ADB}"/>
            </c:ext>
          </c:extLst>
        </c:ser>
        <c:ser>
          <c:idx val="0"/>
          <c:order val="1"/>
          <c:tx>
            <c:v>val</c:v>
          </c:tx>
          <c:spPr>
            <a:ln>
              <a:noFill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'dbg10'!$C$36</c:f>
              <c:numCache>
                <c:formatCode>0.00_ </c:formatCode>
                <c:ptCount val="1"/>
                <c:pt idx="0">
                  <c:v>1.2</c:v>
                </c:pt>
              </c:numCache>
            </c:numRef>
          </c:xVal>
          <c:yVal>
            <c:numRef>
              <c:f>'dbg10'!$G$36</c:f>
              <c:numCache>
                <c:formatCode>0.0000</c:formatCode>
                <c:ptCount val="1"/>
                <c:pt idx="0">
                  <c:v>14.389999999999999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E5B-4017-8E57-1EF6F0A51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685576"/>
        <c:axId val="464690280"/>
      </c:scatterChart>
      <c:valAx>
        <c:axId val="46468557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</c:majorGridlines>
        <c:minorGridlines>
          <c:spPr>
            <a:ln>
              <a:solidFill>
                <a:srgbClr val="CCECFF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800"/>
                </a:pPr>
                <a:r>
                  <a:rPr lang="en-US" sz="800"/>
                  <a:t>E beam [MeV/A]</a:t>
                </a:r>
                <a:endParaRPr lang="ja-JP" sz="800"/>
              </a:p>
            </c:rich>
          </c:tx>
          <c:layout>
            <c:manualLayout>
              <c:xMode val="edge"/>
              <c:yMode val="edge"/>
              <c:x val="0.42526250000000004"/>
              <c:y val="0.91768518518518516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cross"/>
        <c:minorTickMark val="in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4690280"/>
        <c:crosses val="autoZero"/>
        <c:crossBetween val="midCat"/>
      </c:valAx>
      <c:valAx>
        <c:axId val="464690280"/>
        <c:scaling>
          <c:orientation val="minMax"/>
        </c:scaling>
        <c:delete val="0"/>
        <c:axPos val="l"/>
        <c:majorGridlines>
          <c:spPr>
            <a:ln w="12700">
              <a:solidFill>
                <a:schemeClr val="tx2"/>
              </a:solidFill>
              <a:prstDash val="sysDash"/>
            </a:ln>
          </c:spPr>
        </c:majorGridlines>
        <c:min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800"/>
                </a:pPr>
                <a:r>
                  <a:rPr lang="en-US" sz="800"/>
                  <a:t>Rng,</a:t>
                </a:r>
                <a:r>
                  <a:rPr lang="en-US" sz="800" baseline="0"/>
                  <a:t> Strg</a:t>
                </a:r>
                <a:r>
                  <a:rPr lang="en-US" sz="800"/>
                  <a:t> </a:t>
                </a:r>
                <a:endParaRPr lang="ja-JP" sz="800"/>
              </a:p>
            </c:rich>
          </c:tx>
          <c:layout>
            <c:manualLayout>
              <c:xMode val="edge"/>
              <c:yMode val="edge"/>
              <c:x val="1.1006481481481482E-2"/>
              <c:y val="0.83159398148148156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cross"/>
        <c:minorTickMark val="out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464685576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</a:ln>
  </c:spPr>
  <c:txPr>
    <a:bodyPr/>
    <a:lstStyle/>
    <a:p>
      <a:pPr>
        <a:defRPr b="0" baseline="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n-US" sz="1000" b="1"/>
              <a:t>StLng</a:t>
            </a:r>
          </a:p>
        </c:rich>
      </c:tx>
      <c:layout>
        <c:manualLayout>
          <c:xMode val="edge"/>
          <c:yMode val="edge"/>
          <c:x val="0.30772638888888892"/>
          <c:y val="0.73157407407407404"/>
        </c:manualLayout>
      </c:layout>
      <c:overlay val="1"/>
      <c:spPr>
        <a:solidFill>
          <a:schemeClr val="bg1"/>
        </a:solidFill>
        <a:ln>
          <a:solidFill>
            <a:srgbClr val="00B05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7963194444444439"/>
          <c:y val="5.4876388888888891E-2"/>
          <c:w val="0.66157175925925926"/>
          <c:h val="0.7924847222222221"/>
        </c:manualLayout>
      </c:layout>
      <c:scatterChart>
        <c:scatterStyle val="lineMarker"/>
        <c:varyColors val="0"/>
        <c:ser>
          <c:idx val="3"/>
          <c:order val="0"/>
          <c:tx>
            <c:v>tbl</c:v>
          </c:tx>
          <c:spPr>
            <a:ln w="12700">
              <a:solidFill>
                <a:srgbClr val="006600"/>
              </a:solidFill>
            </a:ln>
          </c:spPr>
          <c:marker>
            <c:symbol val="circle"/>
            <c:size val="5"/>
            <c:spPr>
              <a:noFill/>
              <a:ln>
                <a:solidFill>
                  <a:srgbClr val="006600"/>
                </a:solidFill>
              </a:ln>
            </c:spPr>
          </c:marker>
          <c:xVal>
            <c:numRef>
              <c:f>'dbg10'!$C$24:$C$28</c:f>
              <c:numCache>
                <c:formatCode>0.0000000_ </c:formatCode>
                <c:ptCount val="5"/>
                <c:pt idx="0">
                  <c:v>1</c:v>
                </c:pt>
                <c:pt idx="1">
                  <c:v>1.125</c:v>
                </c:pt>
                <c:pt idx="2">
                  <c:v>1.25</c:v>
                </c:pt>
                <c:pt idx="3">
                  <c:v>1.375</c:v>
                </c:pt>
                <c:pt idx="4">
                  <c:v>1.5</c:v>
                </c:pt>
              </c:numCache>
            </c:numRef>
          </c:xVal>
          <c:yVal>
            <c:numRef>
              <c:f>'dbg10'!$H$24:$H$28</c:f>
              <c:numCache>
                <c:formatCode>0.0000</c:formatCode>
                <c:ptCount val="5"/>
                <c:pt idx="0">
                  <c:v>0.44489999999999996</c:v>
                </c:pt>
                <c:pt idx="1">
                  <c:v>0.47689999999999999</c:v>
                </c:pt>
                <c:pt idx="2">
                  <c:v>0.50670000000000004</c:v>
                </c:pt>
                <c:pt idx="3">
                  <c:v>0.53479999999999994</c:v>
                </c:pt>
                <c:pt idx="4">
                  <c:v>0.56159999999999999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9B8-4123-A9E2-CBB0BF642531}"/>
            </c:ext>
          </c:extLst>
        </c:ser>
        <c:ser>
          <c:idx val="0"/>
          <c:order val="1"/>
          <c:tx>
            <c:v>val</c:v>
          </c:tx>
          <c:spPr>
            <a:ln>
              <a:noFill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'dbg10'!$C$36</c:f>
              <c:numCache>
                <c:formatCode>0.00_ </c:formatCode>
                <c:ptCount val="1"/>
                <c:pt idx="0">
                  <c:v>1.2</c:v>
                </c:pt>
              </c:numCache>
            </c:numRef>
          </c:xVal>
          <c:yVal>
            <c:numRef>
              <c:f>'dbg10'!$H$36</c:f>
              <c:numCache>
                <c:formatCode>0.0000</c:formatCode>
                <c:ptCount val="1"/>
                <c:pt idx="0">
                  <c:v>0.49478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9B8-4123-A9E2-CBB0BF642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695768"/>
        <c:axId val="464688320"/>
      </c:scatterChart>
      <c:valAx>
        <c:axId val="46469576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</c:majorGridlines>
        <c:minorGridlines>
          <c:spPr>
            <a:ln>
              <a:solidFill>
                <a:srgbClr val="CCECFF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800"/>
                </a:pPr>
                <a:r>
                  <a:rPr lang="en-US" sz="800"/>
                  <a:t>E beam [MeV/A]</a:t>
                </a:r>
                <a:endParaRPr lang="ja-JP" sz="800"/>
              </a:p>
            </c:rich>
          </c:tx>
          <c:layout>
            <c:manualLayout>
              <c:xMode val="edge"/>
              <c:yMode val="edge"/>
              <c:x val="0.42526250000000004"/>
              <c:y val="0.91768518518518516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cross"/>
        <c:minorTickMark val="in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4688320"/>
        <c:crosses val="autoZero"/>
        <c:crossBetween val="midCat"/>
      </c:valAx>
      <c:valAx>
        <c:axId val="464688320"/>
        <c:scaling>
          <c:orientation val="minMax"/>
        </c:scaling>
        <c:delete val="0"/>
        <c:axPos val="l"/>
        <c:majorGridlines>
          <c:spPr>
            <a:ln w="12700">
              <a:solidFill>
                <a:schemeClr val="tx2"/>
              </a:solidFill>
              <a:prstDash val="sysDash"/>
            </a:ln>
          </c:spPr>
        </c:majorGridlines>
        <c:min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800"/>
                </a:pPr>
                <a:r>
                  <a:rPr lang="en-US" sz="800"/>
                  <a:t>Rng,</a:t>
                </a:r>
                <a:r>
                  <a:rPr lang="en-US" sz="800" baseline="0"/>
                  <a:t> Strg</a:t>
                </a:r>
                <a:r>
                  <a:rPr lang="en-US" sz="800"/>
                  <a:t> </a:t>
                </a:r>
                <a:endParaRPr lang="ja-JP" sz="800"/>
              </a:p>
            </c:rich>
          </c:tx>
          <c:layout>
            <c:manualLayout>
              <c:xMode val="edge"/>
              <c:yMode val="edge"/>
              <c:x val="1.1006481481481482E-2"/>
              <c:y val="0.83159398148148156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cross"/>
        <c:minorTickMark val="out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464695768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</a:ln>
  </c:spPr>
  <c:txPr>
    <a:bodyPr/>
    <a:lstStyle/>
    <a:p>
      <a:pPr>
        <a:defRPr b="0" baseline="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n-US" sz="1000" b="1"/>
              <a:t>StLtr</a:t>
            </a:r>
          </a:p>
        </c:rich>
      </c:tx>
      <c:layout>
        <c:manualLayout>
          <c:xMode val="edge"/>
          <c:yMode val="edge"/>
          <c:x val="0.30772638888888892"/>
          <c:y val="0.73157407407407404"/>
        </c:manualLayout>
      </c:layout>
      <c:overlay val="1"/>
      <c:spPr>
        <a:solidFill>
          <a:schemeClr val="bg1"/>
        </a:solidFill>
        <a:ln>
          <a:solidFill>
            <a:srgbClr val="00B05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7963194444444439"/>
          <c:y val="5.4876388888888891E-2"/>
          <c:w val="0.66157175925925926"/>
          <c:h val="0.7924847222222221"/>
        </c:manualLayout>
      </c:layout>
      <c:scatterChart>
        <c:scatterStyle val="lineMarker"/>
        <c:varyColors val="0"/>
        <c:ser>
          <c:idx val="3"/>
          <c:order val="0"/>
          <c:tx>
            <c:v>tbl</c:v>
          </c:tx>
          <c:spPr>
            <a:ln w="12700">
              <a:solidFill>
                <a:srgbClr val="006600"/>
              </a:solidFill>
            </a:ln>
          </c:spPr>
          <c:marker>
            <c:symbol val="circle"/>
            <c:size val="5"/>
            <c:spPr>
              <a:noFill/>
              <a:ln>
                <a:solidFill>
                  <a:srgbClr val="006600"/>
                </a:solidFill>
              </a:ln>
            </c:spPr>
          </c:marker>
          <c:xVal>
            <c:numRef>
              <c:f>'dbg10'!$C$24:$C$28</c:f>
              <c:numCache>
                <c:formatCode>0.0000000_ </c:formatCode>
                <c:ptCount val="5"/>
                <c:pt idx="0">
                  <c:v>1</c:v>
                </c:pt>
                <c:pt idx="1">
                  <c:v>1.125</c:v>
                </c:pt>
                <c:pt idx="2">
                  <c:v>1.25</c:v>
                </c:pt>
                <c:pt idx="3">
                  <c:v>1.375</c:v>
                </c:pt>
                <c:pt idx="4">
                  <c:v>1.5</c:v>
                </c:pt>
              </c:numCache>
            </c:numRef>
          </c:xVal>
          <c:yVal>
            <c:numRef>
              <c:f>'dbg10'!$I$24:$I$28</c:f>
              <c:numCache>
                <c:formatCode>0.0000</c:formatCode>
                <c:ptCount val="5"/>
                <c:pt idx="0">
                  <c:v>0.51970000000000005</c:v>
                </c:pt>
                <c:pt idx="1">
                  <c:v>0.53200000000000003</c:v>
                </c:pt>
                <c:pt idx="2">
                  <c:v>0.54359999999999997</c:v>
                </c:pt>
                <c:pt idx="3">
                  <c:v>0.55469999999999997</c:v>
                </c:pt>
                <c:pt idx="4">
                  <c:v>0.56529999999999991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A6A-4E3A-94C0-5C15BCE8906D}"/>
            </c:ext>
          </c:extLst>
        </c:ser>
        <c:ser>
          <c:idx val="0"/>
          <c:order val="1"/>
          <c:tx>
            <c:v>val</c:v>
          </c:tx>
          <c:spPr>
            <a:ln>
              <a:noFill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'dbg10'!$C$36</c:f>
              <c:numCache>
                <c:formatCode>0.00_ </c:formatCode>
                <c:ptCount val="1"/>
                <c:pt idx="0">
                  <c:v>1.2</c:v>
                </c:pt>
              </c:numCache>
            </c:numRef>
          </c:xVal>
          <c:yVal>
            <c:numRef>
              <c:f>'dbg10'!$I$36</c:f>
              <c:numCache>
                <c:formatCode>0.0000</c:formatCode>
                <c:ptCount val="1"/>
                <c:pt idx="0">
                  <c:v>0.53895999999999999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6A-4E3A-94C0-5C15BCE89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696160"/>
        <c:axId val="464696552"/>
      </c:scatterChart>
      <c:valAx>
        <c:axId val="46469616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</c:majorGridlines>
        <c:minorGridlines>
          <c:spPr>
            <a:ln>
              <a:solidFill>
                <a:srgbClr val="CCECFF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800"/>
                </a:pPr>
                <a:r>
                  <a:rPr lang="en-US" sz="800"/>
                  <a:t>E beam [MeV/A]</a:t>
                </a:r>
                <a:endParaRPr lang="ja-JP" sz="800"/>
              </a:p>
            </c:rich>
          </c:tx>
          <c:layout>
            <c:manualLayout>
              <c:xMode val="edge"/>
              <c:yMode val="edge"/>
              <c:x val="0.42526250000000004"/>
              <c:y val="0.91768518518518516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cross"/>
        <c:minorTickMark val="in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4696552"/>
        <c:crosses val="autoZero"/>
        <c:crossBetween val="midCat"/>
      </c:valAx>
      <c:valAx>
        <c:axId val="464696552"/>
        <c:scaling>
          <c:orientation val="minMax"/>
        </c:scaling>
        <c:delete val="0"/>
        <c:axPos val="l"/>
        <c:majorGridlines>
          <c:spPr>
            <a:ln w="12700">
              <a:solidFill>
                <a:schemeClr val="tx2"/>
              </a:solidFill>
              <a:prstDash val="sysDash"/>
            </a:ln>
          </c:spPr>
        </c:majorGridlines>
        <c:min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800"/>
                </a:pPr>
                <a:r>
                  <a:rPr lang="en-US" sz="800"/>
                  <a:t>Rng,</a:t>
                </a:r>
                <a:r>
                  <a:rPr lang="en-US" sz="800" baseline="0"/>
                  <a:t> Strg</a:t>
                </a:r>
                <a:r>
                  <a:rPr lang="en-US" sz="800"/>
                  <a:t> </a:t>
                </a:r>
                <a:endParaRPr lang="ja-JP" sz="800"/>
              </a:p>
            </c:rich>
          </c:tx>
          <c:layout>
            <c:manualLayout>
              <c:xMode val="edge"/>
              <c:yMode val="edge"/>
              <c:x val="1.1006481481481482E-2"/>
              <c:y val="0.83159398148148156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cross"/>
        <c:minorTickMark val="out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464696160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</a:ln>
  </c:spPr>
  <c:txPr>
    <a:bodyPr/>
    <a:lstStyle/>
    <a:p>
      <a:pPr>
        <a:defRPr b="0" baseline="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n-US" sz="1000" b="1"/>
              <a:t>Rng</a:t>
            </a:r>
          </a:p>
        </c:rich>
      </c:tx>
      <c:layout>
        <c:manualLayout>
          <c:xMode val="edge"/>
          <c:yMode val="edge"/>
          <c:x val="0.30772638888888892"/>
          <c:y val="0.73157407407407404"/>
        </c:manualLayout>
      </c:layout>
      <c:overlay val="1"/>
      <c:spPr>
        <a:solidFill>
          <a:schemeClr val="bg1"/>
        </a:solidFill>
        <a:ln>
          <a:solidFill>
            <a:srgbClr val="00B05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7963194444444439"/>
          <c:y val="5.4876388888888891E-2"/>
          <c:w val="0.66157175925925926"/>
          <c:h val="0.7924847222222221"/>
        </c:manualLayout>
      </c:layout>
      <c:scatterChart>
        <c:scatterStyle val="lineMarker"/>
        <c:varyColors val="0"/>
        <c:ser>
          <c:idx val="3"/>
          <c:order val="0"/>
          <c:tx>
            <c:v>tbl</c:v>
          </c:tx>
          <c:spPr>
            <a:ln w="12700">
              <a:solidFill>
                <a:srgbClr val="006600"/>
              </a:solidFill>
            </a:ln>
          </c:spPr>
          <c:marker>
            <c:symbol val="circle"/>
            <c:size val="5"/>
            <c:spPr>
              <a:noFill/>
              <a:ln>
                <a:solidFill>
                  <a:srgbClr val="006600"/>
                </a:solidFill>
              </a:ln>
            </c:spPr>
          </c:marker>
          <c:xVal>
            <c:numRef>
              <c:f>'dbg11'!$D$19:$D$23</c:f>
              <c:numCache>
                <c:formatCode>0.000_ </c:formatCode>
                <c:ptCount val="5"/>
                <c:pt idx="0">
                  <c:v>1.625</c:v>
                </c:pt>
                <c:pt idx="1">
                  <c:v>1.75</c:v>
                </c:pt>
                <c:pt idx="2">
                  <c:v>2</c:v>
                </c:pt>
                <c:pt idx="3">
                  <c:v>2.25</c:v>
                </c:pt>
                <c:pt idx="4">
                  <c:v>2.5</c:v>
                </c:pt>
              </c:numCache>
            </c:numRef>
          </c:xVal>
          <c:yVal>
            <c:numRef>
              <c:f>'dbg11'!$F$19:$F$23</c:f>
              <c:numCache>
                <c:formatCode>0.000E+00</c:formatCode>
                <c:ptCount val="5"/>
                <c:pt idx="0">
                  <c:v>18.329999999999998</c:v>
                </c:pt>
                <c:pt idx="1">
                  <c:v>19.5</c:v>
                </c:pt>
                <c:pt idx="2">
                  <c:v>21.86</c:v>
                </c:pt>
                <c:pt idx="3">
                  <c:v>24.27</c:v>
                </c:pt>
                <c:pt idx="4">
                  <c:v>26.74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B3-40F9-83B8-9C40FDAA4896}"/>
            </c:ext>
          </c:extLst>
        </c:ser>
        <c:ser>
          <c:idx val="0"/>
          <c:order val="1"/>
          <c:tx>
            <c:v>val</c:v>
          </c:tx>
          <c:spPr>
            <a:ln>
              <a:noFill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'dbg11'!$D$18</c:f>
              <c:numCache>
                <c:formatCode>0.00_ </c:formatCode>
                <c:ptCount val="1"/>
                <c:pt idx="0">
                  <c:v>2</c:v>
                </c:pt>
              </c:numCache>
            </c:numRef>
          </c:xVal>
          <c:yVal>
            <c:numRef>
              <c:f>'dbg11'!$F$29</c:f>
              <c:numCache>
                <c:formatCode>0.000E+00</c:formatCode>
                <c:ptCount val="1"/>
                <c:pt idx="0">
                  <c:v>21.86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B3-40F9-83B8-9C40FDAA4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686360"/>
        <c:axId val="464687144"/>
      </c:scatterChart>
      <c:valAx>
        <c:axId val="46468636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</c:majorGridlines>
        <c:minorGridlines>
          <c:spPr>
            <a:ln>
              <a:solidFill>
                <a:srgbClr val="CCECFF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800"/>
                </a:pPr>
                <a:r>
                  <a:rPr lang="en-US" sz="800"/>
                  <a:t>E beam [MeV/A]</a:t>
                </a:r>
                <a:endParaRPr lang="ja-JP" sz="800"/>
              </a:p>
            </c:rich>
          </c:tx>
          <c:layout>
            <c:manualLayout>
              <c:xMode val="edge"/>
              <c:yMode val="edge"/>
              <c:x val="0.42526250000000004"/>
              <c:y val="0.91768518518518516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cross"/>
        <c:minorTickMark val="in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4687144"/>
        <c:crosses val="autoZero"/>
        <c:crossBetween val="midCat"/>
      </c:valAx>
      <c:valAx>
        <c:axId val="464687144"/>
        <c:scaling>
          <c:orientation val="minMax"/>
        </c:scaling>
        <c:delete val="0"/>
        <c:axPos val="l"/>
        <c:majorGridlines>
          <c:spPr>
            <a:ln w="12700">
              <a:solidFill>
                <a:schemeClr val="tx2"/>
              </a:solidFill>
              <a:prstDash val="sysDash"/>
            </a:ln>
          </c:spPr>
        </c:majorGridlines>
        <c:min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800"/>
                </a:pPr>
                <a:r>
                  <a:rPr lang="en-US" sz="800"/>
                  <a:t>Rng</a:t>
                </a:r>
                <a:r>
                  <a:rPr lang="en-US" sz="800" baseline="0"/>
                  <a:t> [um]</a:t>
                </a:r>
                <a:endParaRPr lang="ja-JP" sz="800"/>
              </a:p>
            </c:rich>
          </c:tx>
          <c:layout>
            <c:manualLayout>
              <c:xMode val="edge"/>
              <c:yMode val="edge"/>
              <c:x val="1.6885428408088824E-2"/>
              <c:y val="0.77975759644618392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cross"/>
        <c:minorTickMark val="out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464686360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</a:ln>
  </c:spPr>
  <c:txPr>
    <a:bodyPr/>
    <a:lstStyle/>
    <a:p>
      <a:pPr>
        <a:defRPr b="0" baseline="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n-US" sz="1000" b="1"/>
              <a:t>Rng</a:t>
            </a:r>
          </a:p>
        </c:rich>
      </c:tx>
      <c:layout>
        <c:manualLayout>
          <c:xMode val="edge"/>
          <c:yMode val="edge"/>
          <c:x val="0.30772638888888892"/>
          <c:y val="0.73157407407407404"/>
        </c:manualLayout>
      </c:layout>
      <c:overlay val="1"/>
      <c:spPr>
        <a:solidFill>
          <a:schemeClr val="bg1"/>
        </a:solidFill>
        <a:ln>
          <a:solidFill>
            <a:srgbClr val="00B05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7963194444444439"/>
          <c:y val="5.4876388888888891E-2"/>
          <c:w val="0.66157175925925926"/>
          <c:h val="0.7924847222222221"/>
        </c:manualLayout>
      </c:layout>
      <c:scatterChart>
        <c:scatterStyle val="lineMarker"/>
        <c:varyColors val="0"/>
        <c:ser>
          <c:idx val="3"/>
          <c:order val="0"/>
          <c:tx>
            <c:v>tbl</c:v>
          </c:tx>
          <c:spPr>
            <a:ln w="12700">
              <a:solidFill>
                <a:srgbClr val="006600"/>
              </a:solidFill>
            </a:ln>
          </c:spPr>
          <c:marker>
            <c:symbol val="circle"/>
            <c:size val="5"/>
            <c:spPr>
              <a:noFill/>
              <a:ln>
                <a:solidFill>
                  <a:srgbClr val="006600"/>
                </a:solidFill>
              </a:ln>
            </c:spPr>
          </c:marker>
          <c:xVal>
            <c:numRef>
              <c:f>'dbg11'!$D$40:$D$44</c:f>
              <c:numCache>
                <c:formatCode>0.000_ </c:formatCode>
                <c:ptCount val="5"/>
                <c:pt idx="0">
                  <c:v>0.22500000000000001</c:v>
                </c:pt>
                <c:pt idx="1">
                  <c:v>0.25</c:v>
                </c:pt>
                <c:pt idx="2">
                  <c:v>0.27500000000000002</c:v>
                </c:pt>
                <c:pt idx="3">
                  <c:v>0.3</c:v>
                </c:pt>
                <c:pt idx="4">
                  <c:v>0.32500000000000001</c:v>
                </c:pt>
              </c:numCache>
            </c:numRef>
          </c:xVal>
          <c:yVal>
            <c:numRef>
              <c:f>'dbg11'!$F$40:$F$44</c:f>
              <c:numCache>
                <c:formatCode>0.000E+00</c:formatCode>
                <c:ptCount val="5"/>
                <c:pt idx="0">
                  <c:v>4.67</c:v>
                </c:pt>
                <c:pt idx="1">
                  <c:v>4.99</c:v>
                </c:pt>
                <c:pt idx="2">
                  <c:v>5.3</c:v>
                </c:pt>
                <c:pt idx="3">
                  <c:v>5.6</c:v>
                </c:pt>
                <c:pt idx="4">
                  <c:v>5.89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CA2-42F3-BFD5-FA44F2B10943}"/>
            </c:ext>
          </c:extLst>
        </c:ser>
        <c:ser>
          <c:idx val="0"/>
          <c:order val="1"/>
          <c:tx>
            <c:v>val</c:v>
          </c:tx>
          <c:spPr>
            <a:ln>
              <a:noFill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'dbg11'!$D$50</c:f>
              <c:numCache>
                <c:formatCode>0.000_ </c:formatCode>
                <c:ptCount val="1"/>
                <c:pt idx="0">
                  <c:v>0.25080645161290321</c:v>
                </c:pt>
              </c:numCache>
            </c:numRef>
          </c:xVal>
          <c:yVal>
            <c:numRef>
              <c:f>'dbg11'!$F$39</c:f>
              <c:numCache>
                <c:formatCode>0.00E+00</c:formatCode>
                <c:ptCount val="1"/>
                <c:pt idx="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CA2-42F3-BFD5-FA44F2B10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687928"/>
        <c:axId val="464688712"/>
      </c:scatterChart>
      <c:valAx>
        <c:axId val="46468792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</c:majorGridlines>
        <c:minorGridlines>
          <c:spPr>
            <a:ln>
              <a:solidFill>
                <a:srgbClr val="CCECFF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800"/>
                </a:pPr>
                <a:r>
                  <a:rPr lang="en-US" sz="800"/>
                  <a:t>E beam [MeV/A]</a:t>
                </a:r>
                <a:endParaRPr lang="ja-JP" sz="800"/>
              </a:p>
            </c:rich>
          </c:tx>
          <c:layout>
            <c:manualLayout>
              <c:xMode val="edge"/>
              <c:yMode val="edge"/>
              <c:x val="0.42526250000000004"/>
              <c:y val="0.91768518518518516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cross"/>
        <c:minorTickMark val="in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4688712"/>
        <c:crosses val="autoZero"/>
        <c:crossBetween val="midCat"/>
      </c:valAx>
      <c:valAx>
        <c:axId val="464688712"/>
        <c:scaling>
          <c:orientation val="minMax"/>
        </c:scaling>
        <c:delete val="0"/>
        <c:axPos val="l"/>
        <c:majorGridlines>
          <c:spPr>
            <a:ln w="12700">
              <a:solidFill>
                <a:schemeClr val="tx2"/>
              </a:solidFill>
              <a:prstDash val="sysDash"/>
            </a:ln>
          </c:spPr>
        </c:majorGridlines>
        <c:min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800"/>
                </a:pPr>
                <a:r>
                  <a:rPr lang="en-US" sz="800"/>
                  <a:t>Rng</a:t>
                </a:r>
                <a:r>
                  <a:rPr lang="en-US" sz="800" baseline="0"/>
                  <a:t> [um]</a:t>
                </a:r>
                <a:endParaRPr lang="ja-JP" sz="800"/>
              </a:p>
            </c:rich>
          </c:tx>
          <c:layout>
            <c:manualLayout>
              <c:xMode val="edge"/>
              <c:yMode val="edge"/>
              <c:x val="1.6885428408088824E-2"/>
              <c:y val="0.77975759644618392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cross"/>
        <c:minorTickMark val="out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464687928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</a:ln>
  </c:spPr>
  <c:txPr>
    <a:bodyPr/>
    <a:lstStyle/>
    <a:p>
      <a:pPr>
        <a:defRPr b="0" baseline="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n-US" sz="1000" b="1"/>
              <a:t>E</a:t>
            </a:r>
            <a:r>
              <a:rPr lang="en-US" sz="1000" b="1" baseline="0"/>
              <a:t>_</a:t>
            </a:r>
            <a:r>
              <a:rPr lang="en-US" sz="1000" b="1"/>
              <a:t>LET Table search</a:t>
            </a:r>
          </a:p>
        </c:rich>
      </c:tx>
      <c:layout>
        <c:manualLayout>
          <c:xMode val="edge"/>
          <c:yMode val="edge"/>
          <c:x val="1.3598055555555561E-2"/>
          <c:y val="5.4398148148148149E-3"/>
        </c:manualLayout>
      </c:layout>
      <c:overlay val="1"/>
      <c:spPr>
        <a:solidFill>
          <a:schemeClr val="bg1"/>
        </a:solidFill>
        <a:ln>
          <a:solidFill>
            <a:srgbClr val="00B05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9.4738492063492052E-2"/>
          <c:y val="5.9476421561160314E-2"/>
          <c:w val="0.85087500000000005"/>
          <c:h val="0.86725967836702722"/>
        </c:manualLayout>
      </c:layout>
      <c:scatterChart>
        <c:scatterStyle val="lineMarker"/>
        <c:varyColors val="0"/>
        <c:ser>
          <c:idx val="2"/>
          <c:order val="0"/>
          <c:tx>
            <c:v>LETe</c:v>
          </c:tx>
          <c:spPr>
            <a:ln w="1270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'dbg12'!$L$11:$L$219</c:f>
              <c:numCache>
                <c:formatCode>0.00000_ </c:formatCode>
                <c:ptCount val="209"/>
                <c:pt idx="0">
                  <c:v>1.0152284263959391E-5</c:v>
                </c:pt>
                <c:pt idx="1">
                  <c:v>1.1421319796954314E-5</c:v>
                </c:pt>
                <c:pt idx="2">
                  <c:v>1.2690355329949238E-5</c:v>
                </c:pt>
                <c:pt idx="3">
                  <c:v>1.3959390862944161E-5</c:v>
                </c:pt>
                <c:pt idx="4">
                  <c:v>1.5228426395939086E-5</c:v>
                </c:pt>
                <c:pt idx="5">
                  <c:v>1.6497461928934009E-5</c:v>
                </c:pt>
                <c:pt idx="6">
                  <c:v>1.7766497461928935E-5</c:v>
                </c:pt>
                <c:pt idx="7">
                  <c:v>1.9035532994923858E-5</c:v>
                </c:pt>
                <c:pt idx="8">
                  <c:v>2.0304568527918781E-5</c:v>
                </c:pt>
                <c:pt idx="9">
                  <c:v>2.2842639593908627E-5</c:v>
                </c:pt>
                <c:pt idx="10">
                  <c:v>2.5380710659898476E-5</c:v>
                </c:pt>
                <c:pt idx="11">
                  <c:v>2.7918781725888322E-5</c:v>
                </c:pt>
                <c:pt idx="12">
                  <c:v>3.0456852791878172E-5</c:v>
                </c:pt>
                <c:pt idx="13">
                  <c:v>3.2994923857868018E-5</c:v>
                </c:pt>
                <c:pt idx="14">
                  <c:v>3.553299492385787E-5</c:v>
                </c:pt>
                <c:pt idx="15">
                  <c:v>4.0609137055837562E-5</c:v>
                </c:pt>
                <c:pt idx="16">
                  <c:v>4.5685279187817254E-5</c:v>
                </c:pt>
                <c:pt idx="17">
                  <c:v>5.0761421319796953E-5</c:v>
                </c:pt>
                <c:pt idx="18">
                  <c:v>5.5837563451776645E-5</c:v>
                </c:pt>
                <c:pt idx="19">
                  <c:v>6.0913705583756343E-5</c:v>
                </c:pt>
                <c:pt idx="20">
                  <c:v>6.5989847715736035E-5</c:v>
                </c:pt>
                <c:pt idx="21">
                  <c:v>7.1065989847715741E-5</c:v>
                </c:pt>
                <c:pt idx="22">
                  <c:v>7.6142131979695433E-5</c:v>
                </c:pt>
                <c:pt idx="23">
                  <c:v>8.1218274111675124E-5</c:v>
                </c:pt>
                <c:pt idx="24">
                  <c:v>8.629441624365483E-5</c:v>
                </c:pt>
                <c:pt idx="25">
                  <c:v>9.1370558375634508E-5</c:v>
                </c:pt>
                <c:pt idx="26">
                  <c:v>1.0152284263959391E-4</c:v>
                </c:pt>
                <c:pt idx="27">
                  <c:v>1.1421319796954314E-4</c:v>
                </c:pt>
                <c:pt idx="28">
                  <c:v>1.2690355329949239E-4</c:v>
                </c:pt>
                <c:pt idx="29">
                  <c:v>1.3959390862944163E-4</c:v>
                </c:pt>
                <c:pt idx="30">
                  <c:v>1.5228426395939087E-4</c:v>
                </c:pt>
                <c:pt idx="31">
                  <c:v>1.649746192893401E-4</c:v>
                </c:pt>
                <c:pt idx="32">
                  <c:v>1.7766497461928937E-4</c:v>
                </c:pt>
                <c:pt idx="33">
                  <c:v>1.9035532994923857E-4</c:v>
                </c:pt>
                <c:pt idx="34">
                  <c:v>2.0304568527918781E-4</c:v>
                </c:pt>
                <c:pt idx="35">
                  <c:v>2.2842639593908628E-4</c:v>
                </c:pt>
                <c:pt idx="36">
                  <c:v>2.5380710659898478E-4</c:v>
                </c:pt>
                <c:pt idx="37">
                  <c:v>2.7918781725888326E-4</c:v>
                </c:pt>
                <c:pt idx="38">
                  <c:v>3.0456852791878173E-4</c:v>
                </c:pt>
                <c:pt idx="39">
                  <c:v>3.299492385786802E-4</c:v>
                </c:pt>
                <c:pt idx="40">
                  <c:v>3.5532994923857873E-4</c:v>
                </c:pt>
                <c:pt idx="41">
                  <c:v>4.0609137055837562E-4</c:v>
                </c:pt>
                <c:pt idx="42">
                  <c:v>4.5685279187817257E-4</c:v>
                </c:pt>
                <c:pt idx="43">
                  <c:v>5.0761421319796957E-4</c:v>
                </c:pt>
                <c:pt idx="44">
                  <c:v>5.5837563451776651E-4</c:v>
                </c:pt>
                <c:pt idx="45">
                  <c:v>6.0913705583756346E-4</c:v>
                </c:pt>
                <c:pt idx="46">
                  <c:v>6.5989847715736041E-4</c:v>
                </c:pt>
                <c:pt idx="47">
                  <c:v>7.1065989847715746E-4</c:v>
                </c:pt>
                <c:pt idx="48">
                  <c:v>7.614213197969543E-4</c:v>
                </c:pt>
                <c:pt idx="49">
                  <c:v>8.1218274111675124E-4</c:v>
                </c:pt>
                <c:pt idx="50">
                  <c:v>8.629441624365483E-4</c:v>
                </c:pt>
                <c:pt idx="51">
                  <c:v>9.1370558375634514E-4</c:v>
                </c:pt>
                <c:pt idx="52">
                  <c:v>1.0152284263959391E-3</c:v>
                </c:pt>
                <c:pt idx="53">
                  <c:v>1.1421319796954316E-3</c:v>
                </c:pt>
                <c:pt idx="54">
                  <c:v>1.2690355329949238E-3</c:v>
                </c:pt>
                <c:pt idx="55">
                  <c:v>1.3959390862944164E-3</c:v>
                </c:pt>
                <c:pt idx="56">
                  <c:v>1.5228426395939086E-3</c:v>
                </c:pt>
                <c:pt idx="57">
                  <c:v>1.649746192893401E-3</c:v>
                </c:pt>
                <c:pt idx="58">
                  <c:v>1.7766497461928932E-3</c:v>
                </c:pt>
                <c:pt idx="59">
                  <c:v>1.9035532994923859E-3</c:v>
                </c:pt>
                <c:pt idx="60">
                  <c:v>2.0304568527918783E-3</c:v>
                </c:pt>
                <c:pt idx="61">
                  <c:v>2.2842639593908631E-3</c:v>
                </c:pt>
                <c:pt idx="62">
                  <c:v>2.5380710659898475E-3</c:v>
                </c:pt>
                <c:pt idx="63">
                  <c:v>2.7918781725888328E-3</c:v>
                </c:pt>
                <c:pt idx="64">
                  <c:v>3.0456852791878172E-3</c:v>
                </c:pt>
                <c:pt idx="65">
                  <c:v>3.299492385786802E-3</c:v>
                </c:pt>
                <c:pt idx="66">
                  <c:v>3.5532994923857864E-3</c:v>
                </c:pt>
                <c:pt idx="67">
                  <c:v>4.0609137055837565E-3</c:v>
                </c:pt>
                <c:pt idx="68">
                  <c:v>4.5685279187817262E-3</c:v>
                </c:pt>
                <c:pt idx="69">
                  <c:v>5.076142131979695E-3</c:v>
                </c:pt>
                <c:pt idx="70">
                  <c:v>5.5837563451776656E-3</c:v>
                </c:pt>
                <c:pt idx="71">
                  <c:v>6.0913705583756344E-3</c:v>
                </c:pt>
                <c:pt idx="72">
                  <c:v>6.5989847715736041E-3</c:v>
                </c:pt>
                <c:pt idx="73">
                  <c:v>7.1065989847715729E-3</c:v>
                </c:pt>
                <c:pt idx="74">
                  <c:v>7.6142131979695434E-3</c:v>
                </c:pt>
                <c:pt idx="75">
                  <c:v>8.1218274111675131E-3</c:v>
                </c:pt>
                <c:pt idx="76">
                  <c:v>8.6294416243654828E-3</c:v>
                </c:pt>
                <c:pt idx="77">
                  <c:v>9.1370558375634525E-3</c:v>
                </c:pt>
                <c:pt idx="78">
                  <c:v>1.015228426395939E-2</c:v>
                </c:pt>
                <c:pt idx="79">
                  <c:v>1.1421319796954314E-2</c:v>
                </c:pt>
                <c:pt idx="80">
                  <c:v>1.2690355329949238E-2</c:v>
                </c:pt>
                <c:pt idx="81">
                  <c:v>1.3959390862944163E-2</c:v>
                </c:pt>
                <c:pt idx="82">
                  <c:v>1.5228426395939087E-2</c:v>
                </c:pt>
                <c:pt idx="83">
                  <c:v>1.6497461928934011E-2</c:v>
                </c:pt>
                <c:pt idx="84">
                  <c:v>1.7766497461928935E-2</c:v>
                </c:pt>
                <c:pt idx="85">
                  <c:v>1.9035532994923859E-2</c:v>
                </c:pt>
                <c:pt idx="86">
                  <c:v>2.030456852791878E-2</c:v>
                </c:pt>
                <c:pt idx="87">
                  <c:v>2.2842639593908629E-2</c:v>
                </c:pt>
                <c:pt idx="88">
                  <c:v>2.5380710659898477E-2</c:v>
                </c:pt>
                <c:pt idx="89">
                  <c:v>2.7918781725888325E-2</c:v>
                </c:pt>
                <c:pt idx="90">
                  <c:v>3.0456852791878174E-2</c:v>
                </c:pt>
                <c:pt idx="91">
                  <c:v>3.2994923857868022E-2</c:v>
                </c:pt>
                <c:pt idx="92">
                  <c:v>3.553299492385787E-2</c:v>
                </c:pt>
                <c:pt idx="93">
                  <c:v>4.060913705583756E-2</c:v>
                </c:pt>
                <c:pt idx="94">
                  <c:v>4.5685279187817257E-2</c:v>
                </c:pt>
                <c:pt idx="95">
                  <c:v>5.0761421319796954E-2</c:v>
                </c:pt>
                <c:pt idx="96">
                  <c:v>5.5837563451776651E-2</c:v>
                </c:pt>
                <c:pt idx="97">
                  <c:v>6.0913705583756347E-2</c:v>
                </c:pt>
                <c:pt idx="98">
                  <c:v>6.5989847715736044E-2</c:v>
                </c:pt>
                <c:pt idx="99">
                  <c:v>7.1065989847715741E-2</c:v>
                </c:pt>
                <c:pt idx="100">
                  <c:v>7.6142131979695438E-2</c:v>
                </c:pt>
                <c:pt idx="101">
                  <c:v>8.1218274111675121E-2</c:v>
                </c:pt>
                <c:pt idx="102">
                  <c:v>8.6294416243654817E-2</c:v>
                </c:pt>
                <c:pt idx="103">
                  <c:v>9.1370558375634514E-2</c:v>
                </c:pt>
                <c:pt idx="104">
                  <c:v>0.10152284263959391</c:v>
                </c:pt>
                <c:pt idx="105">
                  <c:v>0.11421319796954314</c:v>
                </c:pt>
                <c:pt idx="106">
                  <c:v>0.12690355329949238</c:v>
                </c:pt>
                <c:pt idx="107">
                  <c:v>0.13959390862944163</c:v>
                </c:pt>
                <c:pt idx="108">
                  <c:v>0.15228426395939088</c:v>
                </c:pt>
                <c:pt idx="109">
                  <c:v>0.1649746192893401</c:v>
                </c:pt>
                <c:pt idx="110">
                  <c:v>0.17766497461928935</c:v>
                </c:pt>
                <c:pt idx="111">
                  <c:v>0.19035532994923857</c:v>
                </c:pt>
                <c:pt idx="112">
                  <c:v>0.20304568527918782</c:v>
                </c:pt>
                <c:pt idx="113">
                  <c:v>0.22842639593908629</c:v>
                </c:pt>
                <c:pt idx="114">
                  <c:v>0.25380710659898476</c:v>
                </c:pt>
                <c:pt idx="115">
                  <c:v>0.27918781725888325</c:v>
                </c:pt>
                <c:pt idx="116">
                  <c:v>0.30456852791878175</c:v>
                </c:pt>
                <c:pt idx="117">
                  <c:v>0.32994923857868019</c:v>
                </c:pt>
                <c:pt idx="118">
                  <c:v>0.35532994923857869</c:v>
                </c:pt>
                <c:pt idx="119">
                  <c:v>0.40609137055837563</c:v>
                </c:pt>
                <c:pt idx="120">
                  <c:v>0.45685279187817257</c:v>
                </c:pt>
                <c:pt idx="121">
                  <c:v>0.50761421319796951</c:v>
                </c:pt>
                <c:pt idx="122">
                  <c:v>0.55837563451776651</c:v>
                </c:pt>
                <c:pt idx="123">
                  <c:v>0.6091370558375635</c:v>
                </c:pt>
                <c:pt idx="124">
                  <c:v>0.65989847715736039</c:v>
                </c:pt>
                <c:pt idx="125">
                  <c:v>0.71065989847715738</c:v>
                </c:pt>
                <c:pt idx="126">
                  <c:v>0.76142131979695427</c:v>
                </c:pt>
                <c:pt idx="127">
                  <c:v>0.81218274111675126</c:v>
                </c:pt>
                <c:pt idx="128">
                  <c:v>0.86294416243654826</c:v>
                </c:pt>
                <c:pt idx="129">
                  <c:v>0.91370558375634514</c:v>
                </c:pt>
                <c:pt idx="130" formatCode="0.000_ ">
                  <c:v>1.015228426395939</c:v>
                </c:pt>
                <c:pt idx="131" formatCode="0.000_ ">
                  <c:v>1.1421319796954315</c:v>
                </c:pt>
                <c:pt idx="132" formatCode="0.000_ ">
                  <c:v>1.2690355329949239</c:v>
                </c:pt>
                <c:pt idx="133" formatCode="0.000_ ">
                  <c:v>1.3959390862944163</c:v>
                </c:pt>
                <c:pt idx="134" formatCode="0.000_ ">
                  <c:v>1.5228426395939085</c:v>
                </c:pt>
                <c:pt idx="135" formatCode="0.000_ ">
                  <c:v>1.649746192893401</c:v>
                </c:pt>
                <c:pt idx="136" formatCode="0.000_ ">
                  <c:v>1.7766497461928934</c:v>
                </c:pt>
                <c:pt idx="137" formatCode="0.000_ ">
                  <c:v>1.9035532994923858</c:v>
                </c:pt>
                <c:pt idx="138" formatCode="0.000_ ">
                  <c:v>2.030456852791878</c:v>
                </c:pt>
                <c:pt idx="139" formatCode="0.000_ ">
                  <c:v>2.2842639593908629</c:v>
                </c:pt>
                <c:pt idx="140" formatCode="0.000_ ">
                  <c:v>2.5380710659898478</c:v>
                </c:pt>
                <c:pt idx="141" formatCode="0.000_ ">
                  <c:v>2.7918781725888326</c:v>
                </c:pt>
                <c:pt idx="142" formatCode="0.000_ ">
                  <c:v>3.0456852791878171</c:v>
                </c:pt>
                <c:pt idx="143" formatCode="0.000_ ">
                  <c:v>3.2994923857868019</c:v>
                </c:pt>
                <c:pt idx="144" formatCode="0.000_ ">
                  <c:v>3.5532994923857868</c:v>
                </c:pt>
                <c:pt idx="145" formatCode="0.000_ ">
                  <c:v>4.0609137055837561</c:v>
                </c:pt>
                <c:pt idx="146" formatCode="0.000_ ">
                  <c:v>4.5685279187817258</c:v>
                </c:pt>
                <c:pt idx="147" formatCode="0.000_ ">
                  <c:v>5.0761421319796955</c:v>
                </c:pt>
                <c:pt idx="148" formatCode="0.000_ ">
                  <c:v>5.5837563451776653</c:v>
                </c:pt>
                <c:pt idx="149" formatCode="0.000_ ">
                  <c:v>6.0913705583756341</c:v>
                </c:pt>
                <c:pt idx="150" formatCode="0.000_ ">
                  <c:v>6.5989847715736039</c:v>
                </c:pt>
                <c:pt idx="151" formatCode="0.000_ ">
                  <c:v>7.1065989847715736</c:v>
                </c:pt>
                <c:pt idx="152" formatCode="0.000_ ">
                  <c:v>7.6142131979695433</c:v>
                </c:pt>
                <c:pt idx="153" formatCode="0.000_ ">
                  <c:v>8.1218274111675122</c:v>
                </c:pt>
                <c:pt idx="154" formatCode="0.000_ ">
                  <c:v>8.6294416243654819</c:v>
                </c:pt>
                <c:pt idx="155" formatCode="0.000_ ">
                  <c:v>9.1370558375634516</c:v>
                </c:pt>
                <c:pt idx="156" formatCode="0.000_ ">
                  <c:v>10.152284263959391</c:v>
                </c:pt>
                <c:pt idx="157" formatCode="0.000_ ">
                  <c:v>11.421319796954315</c:v>
                </c:pt>
                <c:pt idx="158" formatCode="0.000_ ">
                  <c:v>12.690355329949238</c:v>
                </c:pt>
                <c:pt idx="159" formatCode="0.000_ ">
                  <c:v>13.959390862944163</c:v>
                </c:pt>
                <c:pt idx="160" formatCode="0.000_ ">
                  <c:v>15.228426395939087</c:v>
                </c:pt>
                <c:pt idx="161" formatCode="0.000_ ">
                  <c:v>16.497461928934012</c:v>
                </c:pt>
                <c:pt idx="162" formatCode="0.000_ ">
                  <c:v>17.766497461928935</c:v>
                </c:pt>
                <c:pt idx="163" formatCode="0.000_ ">
                  <c:v>19.035532994923859</c:v>
                </c:pt>
                <c:pt idx="164" formatCode="0.000_ ">
                  <c:v>20.304568527918782</c:v>
                </c:pt>
                <c:pt idx="165" formatCode="0.000_ ">
                  <c:v>22.842639593908629</c:v>
                </c:pt>
                <c:pt idx="166" formatCode="0.000_ ">
                  <c:v>25.380710659898476</c:v>
                </c:pt>
                <c:pt idx="167" formatCode="0.000_ ">
                  <c:v>27.918781725888326</c:v>
                </c:pt>
                <c:pt idx="168" formatCode="0.000_ ">
                  <c:v>30.456852791878173</c:v>
                </c:pt>
                <c:pt idx="169" formatCode="0.000_ ">
                  <c:v>32.994923857868024</c:v>
                </c:pt>
                <c:pt idx="170" formatCode="0.000_ ">
                  <c:v>35.532994923857871</c:v>
                </c:pt>
                <c:pt idx="171" formatCode="0.000_ ">
                  <c:v>40.609137055837564</c:v>
                </c:pt>
                <c:pt idx="172" formatCode="0.000_ ">
                  <c:v>45.685279187817258</c:v>
                </c:pt>
                <c:pt idx="173" formatCode="0.000_ ">
                  <c:v>50.761421319796952</c:v>
                </c:pt>
                <c:pt idx="174" formatCode="0.000_ ">
                  <c:v>55.837563451776653</c:v>
                </c:pt>
                <c:pt idx="175" formatCode="0.000_ ">
                  <c:v>60.913705583756347</c:v>
                </c:pt>
                <c:pt idx="176" formatCode="0.000_ ">
                  <c:v>65.989847715736047</c:v>
                </c:pt>
                <c:pt idx="177" formatCode="0.000_ ">
                  <c:v>71.065989847715741</c:v>
                </c:pt>
                <c:pt idx="178" formatCode="0.000_ ">
                  <c:v>76.142131979695435</c:v>
                </c:pt>
                <c:pt idx="179" formatCode="0.000_ ">
                  <c:v>81.218274111675129</c:v>
                </c:pt>
                <c:pt idx="180" formatCode="0.000_ ">
                  <c:v>86.294416243654823</c:v>
                </c:pt>
                <c:pt idx="181" formatCode="0.000_ ">
                  <c:v>91.370558375634516</c:v>
                </c:pt>
                <c:pt idx="182" formatCode="0.00_ ">
                  <c:v>101.5228426395939</c:v>
                </c:pt>
                <c:pt idx="183" formatCode="0.00_ ">
                  <c:v>114.21319796954315</c:v>
                </c:pt>
                <c:pt idx="184" formatCode="0.00_ ">
                  <c:v>126.90355329949239</c:v>
                </c:pt>
                <c:pt idx="185" formatCode="0.00_ ">
                  <c:v>139.59390862944161</c:v>
                </c:pt>
                <c:pt idx="186" formatCode="0.00_ ">
                  <c:v>152.28426395939087</c:v>
                </c:pt>
                <c:pt idx="187" formatCode="0.00_ ">
                  <c:v>164.9746192893401</c:v>
                </c:pt>
                <c:pt idx="188" formatCode="0.00_ ">
                  <c:v>177.66497461928935</c:v>
                </c:pt>
                <c:pt idx="189" formatCode="0.00_ ">
                  <c:v>190.35532994923858</c:v>
                </c:pt>
                <c:pt idx="190" formatCode="0.00_ ">
                  <c:v>203.04568527918781</c:v>
                </c:pt>
                <c:pt idx="191" formatCode="0.00_ ">
                  <c:v>228.42639593908629</c:v>
                </c:pt>
                <c:pt idx="192" formatCode="0.00_ ">
                  <c:v>253.80710659898477</c:v>
                </c:pt>
                <c:pt idx="193" formatCode="0.00_ ">
                  <c:v>279.18781725888323</c:v>
                </c:pt>
                <c:pt idx="194" formatCode="0.00_ ">
                  <c:v>304.56852791878174</c:v>
                </c:pt>
                <c:pt idx="195" formatCode="0.00_ ">
                  <c:v>329.94923857868019</c:v>
                </c:pt>
                <c:pt idx="196" formatCode="0.00_ ">
                  <c:v>355.32994923857871</c:v>
                </c:pt>
                <c:pt idx="197" formatCode="0.00_ ">
                  <c:v>406.09137055837562</c:v>
                </c:pt>
                <c:pt idx="198" formatCode="0.00_ ">
                  <c:v>456.85279187817258</c:v>
                </c:pt>
                <c:pt idx="199" formatCode="0.00_ ">
                  <c:v>507.61421319796955</c:v>
                </c:pt>
                <c:pt idx="200" formatCode="0.00_ ">
                  <c:v>558.37563451776646</c:v>
                </c:pt>
                <c:pt idx="201" formatCode="0.00_ ">
                  <c:v>609.13705583756348</c:v>
                </c:pt>
                <c:pt idx="202" formatCode="0.00_ ">
                  <c:v>659.89847715736039</c:v>
                </c:pt>
                <c:pt idx="203" formatCode="0.00_ ">
                  <c:v>710.65989847715741</c:v>
                </c:pt>
                <c:pt idx="204" formatCode="0.00_ ">
                  <c:v>761.42131979695432</c:v>
                </c:pt>
                <c:pt idx="205" formatCode="0.00_ ">
                  <c:v>812.18274111675123</c:v>
                </c:pt>
                <c:pt idx="206" formatCode="0.00_ ">
                  <c:v>862.94416243654825</c:v>
                </c:pt>
                <c:pt idx="207" formatCode="0.00_ ">
                  <c:v>913.70558375634516</c:v>
                </c:pt>
                <c:pt idx="208" formatCode="0.00_ ">
                  <c:v>1000</c:v>
                </c:pt>
              </c:numCache>
            </c:numRef>
          </c:xVal>
          <c:yVal>
            <c:numRef>
              <c:f>'dbg12'!$M$11:$M$219</c:f>
              <c:numCache>
                <c:formatCode>0.000E+00</c:formatCode>
                <c:ptCount val="209"/>
                <c:pt idx="0">
                  <c:v>4.088E-2</c:v>
                </c:pt>
                <c:pt idx="1">
                  <c:v>4.3360000000000003E-2</c:v>
                </c:pt>
                <c:pt idx="2">
                  <c:v>4.5699999999999998E-2</c:v>
                </c:pt>
                <c:pt idx="3">
                  <c:v>4.793E-2</c:v>
                </c:pt>
                <c:pt idx="4">
                  <c:v>5.006E-2</c:v>
                </c:pt>
                <c:pt idx="5">
                  <c:v>5.2109999999999997E-2</c:v>
                </c:pt>
                <c:pt idx="6">
                  <c:v>5.407E-2</c:v>
                </c:pt>
                <c:pt idx="7">
                  <c:v>5.5969999999999999E-2</c:v>
                </c:pt>
                <c:pt idx="8">
                  <c:v>5.781E-2</c:v>
                </c:pt>
                <c:pt idx="9">
                  <c:v>6.1310000000000003E-2</c:v>
                </c:pt>
                <c:pt idx="10">
                  <c:v>6.4630000000000007E-2</c:v>
                </c:pt>
                <c:pt idx="11">
                  <c:v>6.7790000000000003E-2</c:v>
                </c:pt>
                <c:pt idx="12">
                  <c:v>7.0800000000000002E-2</c:v>
                </c:pt>
                <c:pt idx="13">
                  <c:v>7.3690000000000005E-2</c:v>
                </c:pt>
                <c:pt idx="14">
                  <c:v>7.6469999999999996E-2</c:v>
                </c:pt>
                <c:pt idx="15">
                  <c:v>8.1750000000000003E-2</c:v>
                </c:pt>
                <c:pt idx="16">
                  <c:v>8.6709999999999995E-2</c:v>
                </c:pt>
                <c:pt idx="17">
                  <c:v>9.1399999999999995E-2</c:v>
                </c:pt>
                <c:pt idx="18">
                  <c:v>9.5860000000000001E-2</c:v>
                </c:pt>
                <c:pt idx="19">
                  <c:v>0.10009999999999999</c:v>
                </c:pt>
                <c:pt idx="20">
                  <c:v>0.1042</c:v>
                </c:pt>
                <c:pt idx="21">
                  <c:v>0.1081</c:v>
                </c:pt>
                <c:pt idx="22">
                  <c:v>0.1119</c:v>
                </c:pt>
                <c:pt idx="23">
                  <c:v>0.11559999999999999</c:v>
                </c:pt>
                <c:pt idx="24">
                  <c:v>0.1192</c:v>
                </c:pt>
                <c:pt idx="25">
                  <c:v>0.1226</c:v>
                </c:pt>
                <c:pt idx="26">
                  <c:v>0.1293</c:v>
                </c:pt>
                <c:pt idx="27">
                  <c:v>0.1371</c:v>
                </c:pt>
                <c:pt idx="28">
                  <c:v>0.14449999999999999</c:v>
                </c:pt>
                <c:pt idx="29">
                  <c:v>0.15160000000000001</c:v>
                </c:pt>
                <c:pt idx="30">
                  <c:v>0.1583</c:v>
                </c:pt>
                <c:pt idx="31">
                  <c:v>0.1648</c:v>
                </c:pt>
                <c:pt idx="32">
                  <c:v>0.17100000000000001</c:v>
                </c:pt>
                <c:pt idx="33">
                  <c:v>0.17699999999999999</c:v>
                </c:pt>
                <c:pt idx="34">
                  <c:v>0.18279999999999999</c:v>
                </c:pt>
                <c:pt idx="35">
                  <c:v>0.19389999999999999</c:v>
                </c:pt>
                <c:pt idx="36">
                  <c:v>0.2044</c:v>
                </c:pt>
                <c:pt idx="37">
                  <c:v>0.21440000000000001</c:v>
                </c:pt>
                <c:pt idx="38">
                  <c:v>0.22389999999999999</c:v>
                </c:pt>
                <c:pt idx="39">
                  <c:v>0.23300000000000001</c:v>
                </c:pt>
                <c:pt idx="40">
                  <c:v>0.24179999999999999</c:v>
                </c:pt>
                <c:pt idx="41">
                  <c:v>0.25850000000000001</c:v>
                </c:pt>
                <c:pt idx="42">
                  <c:v>0.2742</c:v>
                </c:pt>
                <c:pt idx="43">
                  <c:v>0.28899999999999998</c:v>
                </c:pt>
                <c:pt idx="44">
                  <c:v>0.30320000000000003</c:v>
                </c:pt>
                <c:pt idx="45">
                  <c:v>0.31659999999999999</c:v>
                </c:pt>
                <c:pt idx="46">
                  <c:v>0.3296</c:v>
                </c:pt>
                <c:pt idx="47">
                  <c:v>0.34200000000000003</c:v>
                </c:pt>
                <c:pt idx="48">
                  <c:v>0.35399999999999998</c:v>
                </c:pt>
                <c:pt idx="49">
                  <c:v>0.36559999999999998</c:v>
                </c:pt>
                <c:pt idx="50">
                  <c:v>0.37690000000000001</c:v>
                </c:pt>
                <c:pt idx="51">
                  <c:v>0.38779999999999998</c:v>
                </c:pt>
                <c:pt idx="52">
                  <c:v>0.4088</c:v>
                </c:pt>
                <c:pt idx="53">
                  <c:v>0.43359999999999999</c:v>
                </c:pt>
                <c:pt idx="54">
                  <c:v>0.45700000000000002</c:v>
                </c:pt>
                <c:pt idx="55">
                  <c:v>0.4793</c:v>
                </c:pt>
                <c:pt idx="56">
                  <c:v>0.50070000000000003</c:v>
                </c:pt>
                <c:pt idx="57">
                  <c:v>0.52110000000000001</c:v>
                </c:pt>
                <c:pt idx="58">
                  <c:v>0.54079999999999995</c:v>
                </c:pt>
                <c:pt idx="59">
                  <c:v>0.55979999999999996</c:v>
                </c:pt>
                <c:pt idx="60">
                  <c:v>0.58250000000000002</c:v>
                </c:pt>
                <c:pt idx="61">
                  <c:v>0.65090000000000003</c:v>
                </c:pt>
                <c:pt idx="62">
                  <c:v>0.71099999999999997</c:v>
                </c:pt>
                <c:pt idx="63">
                  <c:v>0.7631</c:v>
                </c:pt>
                <c:pt idx="64">
                  <c:v>0.80789999999999995</c:v>
                </c:pt>
                <c:pt idx="65">
                  <c:v>0.84640000000000004</c:v>
                </c:pt>
                <c:pt idx="66">
                  <c:v>0.87960000000000005</c:v>
                </c:pt>
                <c:pt idx="67">
                  <c:v>0.93420000000000003</c:v>
                </c:pt>
                <c:pt idx="68">
                  <c:v>0.97789999999999999</c:v>
                </c:pt>
                <c:pt idx="69">
                  <c:v>1.0149999999999999</c:v>
                </c:pt>
                <c:pt idx="70">
                  <c:v>1.048</c:v>
                </c:pt>
                <c:pt idx="71">
                  <c:v>1.079</c:v>
                </c:pt>
                <c:pt idx="72">
                  <c:v>1.1080000000000001</c:v>
                </c:pt>
                <c:pt idx="73">
                  <c:v>1.1359999999999999</c:v>
                </c:pt>
                <c:pt idx="74">
                  <c:v>1.1639999999999999</c:v>
                </c:pt>
                <c:pt idx="75">
                  <c:v>1.1919999999999999</c:v>
                </c:pt>
                <c:pt idx="76">
                  <c:v>1.2190000000000001</c:v>
                </c:pt>
                <c:pt idx="77">
                  <c:v>1.246</c:v>
                </c:pt>
                <c:pt idx="78">
                  <c:v>1.3</c:v>
                </c:pt>
                <c:pt idx="79">
                  <c:v>1.365</c:v>
                </c:pt>
                <c:pt idx="80">
                  <c:v>1.429</c:v>
                </c:pt>
                <c:pt idx="81">
                  <c:v>1.49</c:v>
                </c:pt>
                <c:pt idx="82">
                  <c:v>1.548</c:v>
                </c:pt>
                <c:pt idx="83">
                  <c:v>1.6040000000000001</c:v>
                </c:pt>
                <c:pt idx="84">
                  <c:v>1.6559999999999999</c:v>
                </c:pt>
                <c:pt idx="85">
                  <c:v>1.706</c:v>
                </c:pt>
                <c:pt idx="86">
                  <c:v>1.7529999999999999</c:v>
                </c:pt>
                <c:pt idx="87">
                  <c:v>1.8380000000000001</c:v>
                </c:pt>
                <c:pt idx="88">
                  <c:v>1.9139999999999999</c:v>
                </c:pt>
                <c:pt idx="89">
                  <c:v>1.98</c:v>
                </c:pt>
                <c:pt idx="90">
                  <c:v>2.0390000000000001</c:v>
                </c:pt>
                <c:pt idx="91">
                  <c:v>2.093</c:v>
                </c:pt>
                <c:pt idx="92">
                  <c:v>2.141</c:v>
                </c:pt>
                <c:pt idx="93">
                  <c:v>2.2280000000000002</c:v>
                </c:pt>
                <c:pt idx="94">
                  <c:v>2.3069999999999999</c:v>
                </c:pt>
                <c:pt idx="95">
                  <c:v>2.3839999999999999</c:v>
                </c:pt>
                <c:pt idx="96">
                  <c:v>2.4609999999999999</c:v>
                </c:pt>
                <c:pt idx="97">
                  <c:v>2.5419999999999998</c:v>
                </c:pt>
                <c:pt idx="98">
                  <c:v>2.6280000000000001</c:v>
                </c:pt>
                <c:pt idx="99">
                  <c:v>2.72</c:v>
                </c:pt>
                <c:pt idx="100">
                  <c:v>2.82</c:v>
                </c:pt>
                <c:pt idx="101">
                  <c:v>2.9260000000000002</c:v>
                </c:pt>
                <c:pt idx="102">
                  <c:v>3.04</c:v>
                </c:pt>
                <c:pt idx="103">
                  <c:v>3.161</c:v>
                </c:pt>
                <c:pt idx="104">
                  <c:v>3.423</c:v>
                </c:pt>
                <c:pt idx="105">
                  <c:v>3.786</c:v>
                </c:pt>
                <c:pt idx="106">
                  <c:v>4.181</c:v>
                </c:pt>
                <c:pt idx="107">
                  <c:v>4.6020000000000003</c:v>
                </c:pt>
                <c:pt idx="108">
                  <c:v>5.0439999999999996</c:v>
                </c:pt>
                <c:pt idx="109">
                  <c:v>5.5</c:v>
                </c:pt>
                <c:pt idx="110">
                  <c:v>5.968</c:v>
                </c:pt>
                <c:pt idx="111">
                  <c:v>6.4420000000000002</c:v>
                </c:pt>
                <c:pt idx="112">
                  <c:v>6.9210000000000003</c:v>
                </c:pt>
                <c:pt idx="113">
                  <c:v>7.883</c:v>
                </c:pt>
                <c:pt idx="114">
                  <c:v>8.8379999999999992</c:v>
                </c:pt>
                <c:pt idx="115">
                  <c:v>9.7789999999999999</c:v>
                </c:pt>
                <c:pt idx="116">
                  <c:v>10.7</c:v>
                </c:pt>
                <c:pt idx="117">
                  <c:v>11.6</c:v>
                </c:pt>
                <c:pt idx="118">
                  <c:v>12.47</c:v>
                </c:pt>
                <c:pt idx="119">
                  <c:v>14.14</c:v>
                </c:pt>
                <c:pt idx="120">
                  <c:v>15.69</c:v>
                </c:pt>
                <c:pt idx="121">
                  <c:v>17.14</c:v>
                </c:pt>
                <c:pt idx="122">
                  <c:v>18.48</c:v>
                </c:pt>
                <c:pt idx="123">
                  <c:v>19.71</c:v>
                </c:pt>
                <c:pt idx="124">
                  <c:v>20.86</c:v>
                </c:pt>
                <c:pt idx="125">
                  <c:v>21.92</c:v>
                </c:pt>
                <c:pt idx="126">
                  <c:v>22.91</c:v>
                </c:pt>
                <c:pt idx="127">
                  <c:v>23.82</c:v>
                </c:pt>
                <c:pt idx="128">
                  <c:v>24.67</c:v>
                </c:pt>
                <c:pt idx="129">
                  <c:v>25.46</c:v>
                </c:pt>
                <c:pt idx="130">
                  <c:v>26.89</c:v>
                </c:pt>
                <c:pt idx="131">
                  <c:v>28.45</c:v>
                </c:pt>
                <c:pt idx="132">
                  <c:v>29.79</c:v>
                </c:pt>
                <c:pt idx="133">
                  <c:v>30.96</c:v>
                </c:pt>
                <c:pt idx="134">
                  <c:v>31.98</c:v>
                </c:pt>
                <c:pt idx="135">
                  <c:v>32.89</c:v>
                </c:pt>
                <c:pt idx="136">
                  <c:v>33.700000000000003</c:v>
                </c:pt>
                <c:pt idx="137">
                  <c:v>34.43</c:v>
                </c:pt>
                <c:pt idx="138">
                  <c:v>35.130000000000003</c:v>
                </c:pt>
                <c:pt idx="139">
                  <c:v>36.42</c:v>
                </c:pt>
                <c:pt idx="140">
                  <c:v>37.33</c:v>
                </c:pt>
                <c:pt idx="141">
                  <c:v>38.119999999999997</c:v>
                </c:pt>
                <c:pt idx="142">
                  <c:v>38.79</c:v>
                </c:pt>
                <c:pt idx="143">
                  <c:v>39.36</c:v>
                </c:pt>
                <c:pt idx="144">
                  <c:v>39.85</c:v>
                </c:pt>
                <c:pt idx="145">
                  <c:v>40.659999999999997</c:v>
                </c:pt>
                <c:pt idx="146">
                  <c:v>41.3</c:v>
                </c:pt>
                <c:pt idx="147">
                  <c:v>41.81</c:v>
                </c:pt>
                <c:pt idx="148">
                  <c:v>42.23</c:v>
                </c:pt>
                <c:pt idx="149">
                  <c:v>42.56</c:v>
                </c:pt>
                <c:pt idx="150">
                  <c:v>42.84</c:v>
                </c:pt>
                <c:pt idx="151">
                  <c:v>43.05</c:v>
                </c:pt>
                <c:pt idx="152">
                  <c:v>43.22</c:v>
                </c:pt>
                <c:pt idx="153">
                  <c:v>43.34</c:v>
                </c:pt>
                <c:pt idx="154">
                  <c:v>43.42</c:v>
                </c:pt>
                <c:pt idx="155">
                  <c:v>43.47</c:v>
                </c:pt>
                <c:pt idx="156">
                  <c:v>43.47</c:v>
                </c:pt>
                <c:pt idx="157">
                  <c:v>43.31</c:v>
                </c:pt>
                <c:pt idx="158">
                  <c:v>43.02</c:v>
                </c:pt>
                <c:pt idx="159">
                  <c:v>42.61</c:v>
                </c:pt>
                <c:pt idx="160">
                  <c:v>42.12</c:v>
                </c:pt>
                <c:pt idx="161">
                  <c:v>41.55</c:v>
                </c:pt>
                <c:pt idx="162">
                  <c:v>40.94</c:v>
                </c:pt>
                <c:pt idx="163">
                  <c:v>40.299999999999997</c:v>
                </c:pt>
                <c:pt idx="164">
                  <c:v>39.630000000000003</c:v>
                </c:pt>
                <c:pt idx="165">
                  <c:v>38.270000000000003</c:v>
                </c:pt>
                <c:pt idx="166">
                  <c:v>36.93</c:v>
                </c:pt>
                <c:pt idx="167">
                  <c:v>35.65</c:v>
                </c:pt>
                <c:pt idx="168">
                  <c:v>34.49</c:v>
                </c:pt>
                <c:pt idx="169">
                  <c:v>33.53</c:v>
                </c:pt>
                <c:pt idx="170">
                  <c:v>32.61</c:v>
                </c:pt>
                <c:pt idx="171">
                  <c:v>30.92</c:v>
                </c:pt>
                <c:pt idx="172">
                  <c:v>29.4</c:v>
                </c:pt>
                <c:pt idx="173">
                  <c:v>28.03</c:v>
                </c:pt>
                <c:pt idx="174">
                  <c:v>26.8</c:v>
                </c:pt>
                <c:pt idx="175">
                  <c:v>25.69</c:v>
                </c:pt>
                <c:pt idx="176">
                  <c:v>24.69</c:v>
                </c:pt>
                <c:pt idx="177">
                  <c:v>23.77</c:v>
                </c:pt>
                <c:pt idx="178">
                  <c:v>22.94</c:v>
                </c:pt>
                <c:pt idx="179">
                  <c:v>22.17</c:v>
                </c:pt>
                <c:pt idx="180">
                  <c:v>21.47</c:v>
                </c:pt>
                <c:pt idx="181">
                  <c:v>20.82</c:v>
                </c:pt>
                <c:pt idx="182">
                  <c:v>19.670000000000002</c:v>
                </c:pt>
                <c:pt idx="183">
                  <c:v>18.440000000000001</c:v>
                </c:pt>
                <c:pt idx="184">
                  <c:v>17.399999999999999</c:v>
                </c:pt>
                <c:pt idx="185">
                  <c:v>16.52</c:v>
                </c:pt>
                <c:pt idx="186">
                  <c:v>15.75</c:v>
                </c:pt>
                <c:pt idx="187">
                  <c:v>15.08</c:v>
                </c:pt>
                <c:pt idx="188">
                  <c:v>14.49</c:v>
                </c:pt>
                <c:pt idx="189">
                  <c:v>13.96</c:v>
                </c:pt>
                <c:pt idx="190">
                  <c:v>13.5</c:v>
                </c:pt>
                <c:pt idx="191">
                  <c:v>12.7</c:v>
                </c:pt>
                <c:pt idx="192">
                  <c:v>12.04</c:v>
                </c:pt>
                <c:pt idx="193">
                  <c:v>11.49</c:v>
                </c:pt>
                <c:pt idx="194">
                  <c:v>11.03</c:v>
                </c:pt>
                <c:pt idx="195">
                  <c:v>10.63</c:v>
                </c:pt>
                <c:pt idx="196">
                  <c:v>10.29</c:v>
                </c:pt>
                <c:pt idx="197">
                  <c:v>9.7200000000000006</c:v>
                </c:pt>
                <c:pt idx="198">
                  <c:v>9.2759999999999998</c:v>
                </c:pt>
                <c:pt idx="199">
                  <c:v>8.9220000000000006</c:v>
                </c:pt>
                <c:pt idx="200">
                  <c:v>8.6359999999999992</c:v>
                </c:pt>
                <c:pt idx="201">
                  <c:v>8.4</c:v>
                </c:pt>
                <c:pt idx="202">
                  <c:v>8.2040000000000006</c:v>
                </c:pt>
                <c:pt idx="203">
                  <c:v>8.0399999999999991</c:v>
                </c:pt>
                <c:pt idx="204">
                  <c:v>7.9009999999999998</c:v>
                </c:pt>
                <c:pt idx="205">
                  <c:v>7.7830000000000004</c:v>
                </c:pt>
                <c:pt idx="206">
                  <c:v>7.681</c:v>
                </c:pt>
                <c:pt idx="207">
                  <c:v>7.5940000000000003</c:v>
                </c:pt>
                <c:pt idx="208">
                  <c:v>7.4749999999999996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FA0-4DA7-AA87-2285BFD36D78}"/>
            </c:ext>
          </c:extLst>
        </c:ser>
        <c:ser>
          <c:idx val="1"/>
          <c:order val="1"/>
          <c:tx>
            <c:v>LETn</c:v>
          </c:tx>
          <c:spPr>
            <a:ln w="12700">
              <a:solidFill>
                <a:srgbClr val="9933FF"/>
              </a:solidFill>
            </a:ln>
          </c:spPr>
          <c:marker>
            <c:symbol val="none"/>
          </c:marker>
          <c:xVal>
            <c:numRef>
              <c:f>'dbg12'!$L$11:$L$219</c:f>
              <c:numCache>
                <c:formatCode>0.00000_ </c:formatCode>
                <c:ptCount val="209"/>
                <c:pt idx="0">
                  <c:v>1.0152284263959391E-5</c:v>
                </c:pt>
                <c:pt idx="1">
                  <c:v>1.1421319796954314E-5</c:v>
                </c:pt>
                <c:pt idx="2">
                  <c:v>1.2690355329949238E-5</c:v>
                </c:pt>
                <c:pt idx="3">
                  <c:v>1.3959390862944161E-5</c:v>
                </c:pt>
                <c:pt idx="4">
                  <c:v>1.5228426395939086E-5</c:v>
                </c:pt>
                <c:pt idx="5">
                  <c:v>1.6497461928934009E-5</c:v>
                </c:pt>
                <c:pt idx="6">
                  <c:v>1.7766497461928935E-5</c:v>
                </c:pt>
                <c:pt idx="7">
                  <c:v>1.9035532994923858E-5</c:v>
                </c:pt>
                <c:pt idx="8">
                  <c:v>2.0304568527918781E-5</c:v>
                </c:pt>
                <c:pt idx="9">
                  <c:v>2.2842639593908627E-5</c:v>
                </c:pt>
                <c:pt idx="10">
                  <c:v>2.5380710659898476E-5</c:v>
                </c:pt>
                <c:pt idx="11">
                  <c:v>2.7918781725888322E-5</c:v>
                </c:pt>
                <c:pt idx="12">
                  <c:v>3.0456852791878172E-5</c:v>
                </c:pt>
                <c:pt idx="13">
                  <c:v>3.2994923857868018E-5</c:v>
                </c:pt>
                <c:pt idx="14">
                  <c:v>3.553299492385787E-5</c:v>
                </c:pt>
                <c:pt idx="15">
                  <c:v>4.0609137055837562E-5</c:v>
                </c:pt>
                <c:pt idx="16">
                  <c:v>4.5685279187817254E-5</c:v>
                </c:pt>
                <c:pt idx="17">
                  <c:v>5.0761421319796953E-5</c:v>
                </c:pt>
                <c:pt idx="18">
                  <c:v>5.5837563451776645E-5</c:v>
                </c:pt>
                <c:pt idx="19">
                  <c:v>6.0913705583756343E-5</c:v>
                </c:pt>
                <c:pt idx="20">
                  <c:v>6.5989847715736035E-5</c:v>
                </c:pt>
                <c:pt idx="21">
                  <c:v>7.1065989847715741E-5</c:v>
                </c:pt>
                <c:pt idx="22">
                  <c:v>7.6142131979695433E-5</c:v>
                </c:pt>
                <c:pt idx="23">
                  <c:v>8.1218274111675124E-5</c:v>
                </c:pt>
                <c:pt idx="24">
                  <c:v>8.629441624365483E-5</c:v>
                </c:pt>
                <c:pt idx="25">
                  <c:v>9.1370558375634508E-5</c:v>
                </c:pt>
                <c:pt idx="26">
                  <c:v>1.0152284263959391E-4</c:v>
                </c:pt>
                <c:pt idx="27">
                  <c:v>1.1421319796954314E-4</c:v>
                </c:pt>
                <c:pt idx="28">
                  <c:v>1.2690355329949239E-4</c:v>
                </c:pt>
                <c:pt idx="29">
                  <c:v>1.3959390862944163E-4</c:v>
                </c:pt>
                <c:pt idx="30">
                  <c:v>1.5228426395939087E-4</c:v>
                </c:pt>
                <c:pt idx="31">
                  <c:v>1.649746192893401E-4</c:v>
                </c:pt>
                <c:pt idx="32">
                  <c:v>1.7766497461928937E-4</c:v>
                </c:pt>
                <c:pt idx="33">
                  <c:v>1.9035532994923857E-4</c:v>
                </c:pt>
                <c:pt idx="34">
                  <c:v>2.0304568527918781E-4</c:v>
                </c:pt>
                <c:pt idx="35">
                  <c:v>2.2842639593908628E-4</c:v>
                </c:pt>
                <c:pt idx="36">
                  <c:v>2.5380710659898478E-4</c:v>
                </c:pt>
                <c:pt idx="37">
                  <c:v>2.7918781725888326E-4</c:v>
                </c:pt>
                <c:pt idx="38">
                  <c:v>3.0456852791878173E-4</c:v>
                </c:pt>
                <c:pt idx="39">
                  <c:v>3.299492385786802E-4</c:v>
                </c:pt>
                <c:pt idx="40">
                  <c:v>3.5532994923857873E-4</c:v>
                </c:pt>
                <c:pt idx="41">
                  <c:v>4.0609137055837562E-4</c:v>
                </c:pt>
                <c:pt idx="42">
                  <c:v>4.5685279187817257E-4</c:v>
                </c:pt>
                <c:pt idx="43">
                  <c:v>5.0761421319796957E-4</c:v>
                </c:pt>
                <c:pt idx="44">
                  <c:v>5.5837563451776651E-4</c:v>
                </c:pt>
                <c:pt idx="45">
                  <c:v>6.0913705583756346E-4</c:v>
                </c:pt>
                <c:pt idx="46">
                  <c:v>6.5989847715736041E-4</c:v>
                </c:pt>
                <c:pt idx="47">
                  <c:v>7.1065989847715746E-4</c:v>
                </c:pt>
                <c:pt idx="48">
                  <c:v>7.614213197969543E-4</c:v>
                </c:pt>
                <c:pt idx="49">
                  <c:v>8.1218274111675124E-4</c:v>
                </c:pt>
                <c:pt idx="50">
                  <c:v>8.629441624365483E-4</c:v>
                </c:pt>
                <c:pt idx="51">
                  <c:v>9.1370558375634514E-4</c:v>
                </c:pt>
                <c:pt idx="52">
                  <c:v>1.0152284263959391E-3</c:v>
                </c:pt>
                <c:pt idx="53">
                  <c:v>1.1421319796954316E-3</c:v>
                </c:pt>
                <c:pt idx="54">
                  <c:v>1.2690355329949238E-3</c:v>
                </c:pt>
                <c:pt idx="55">
                  <c:v>1.3959390862944164E-3</c:v>
                </c:pt>
                <c:pt idx="56">
                  <c:v>1.5228426395939086E-3</c:v>
                </c:pt>
                <c:pt idx="57">
                  <c:v>1.649746192893401E-3</c:v>
                </c:pt>
                <c:pt idx="58">
                  <c:v>1.7766497461928932E-3</c:v>
                </c:pt>
                <c:pt idx="59">
                  <c:v>1.9035532994923859E-3</c:v>
                </c:pt>
                <c:pt idx="60">
                  <c:v>2.0304568527918783E-3</c:v>
                </c:pt>
                <c:pt idx="61">
                  <c:v>2.2842639593908631E-3</c:v>
                </c:pt>
                <c:pt idx="62">
                  <c:v>2.5380710659898475E-3</c:v>
                </c:pt>
                <c:pt idx="63">
                  <c:v>2.7918781725888328E-3</c:v>
                </c:pt>
                <c:pt idx="64">
                  <c:v>3.0456852791878172E-3</c:v>
                </c:pt>
                <c:pt idx="65">
                  <c:v>3.299492385786802E-3</c:v>
                </c:pt>
                <c:pt idx="66">
                  <c:v>3.5532994923857864E-3</c:v>
                </c:pt>
                <c:pt idx="67">
                  <c:v>4.0609137055837565E-3</c:v>
                </c:pt>
                <c:pt idx="68">
                  <c:v>4.5685279187817262E-3</c:v>
                </c:pt>
                <c:pt idx="69">
                  <c:v>5.076142131979695E-3</c:v>
                </c:pt>
                <c:pt idx="70">
                  <c:v>5.5837563451776656E-3</c:v>
                </c:pt>
                <c:pt idx="71">
                  <c:v>6.0913705583756344E-3</c:v>
                </c:pt>
                <c:pt idx="72">
                  <c:v>6.5989847715736041E-3</c:v>
                </c:pt>
                <c:pt idx="73">
                  <c:v>7.1065989847715729E-3</c:v>
                </c:pt>
                <c:pt idx="74">
                  <c:v>7.6142131979695434E-3</c:v>
                </c:pt>
                <c:pt idx="75">
                  <c:v>8.1218274111675131E-3</c:v>
                </c:pt>
                <c:pt idx="76">
                  <c:v>8.6294416243654828E-3</c:v>
                </c:pt>
                <c:pt idx="77">
                  <c:v>9.1370558375634525E-3</c:v>
                </c:pt>
                <c:pt idx="78">
                  <c:v>1.015228426395939E-2</c:v>
                </c:pt>
                <c:pt idx="79">
                  <c:v>1.1421319796954314E-2</c:v>
                </c:pt>
                <c:pt idx="80">
                  <c:v>1.2690355329949238E-2</c:v>
                </c:pt>
                <c:pt idx="81">
                  <c:v>1.3959390862944163E-2</c:v>
                </c:pt>
                <c:pt idx="82">
                  <c:v>1.5228426395939087E-2</c:v>
                </c:pt>
                <c:pt idx="83">
                  <c:v>1.6497461928934011E-2</c:v>
                </c:pt>
                <c:pt idx="84">
                  <c:v>1.7766497461928935E-2</c:v>
                </c:pt>
                <c:pt idx="85">
                  <c:v>1.9035532994923859E-2</c:v>
                </c:pt>
                <c:pt idx="86">
                  <c:v>2.030456852791878E-2</c:v>
                </c:pt>
                <c:pt idx="87">
                  <c:v>2.2842639593908629E-2</c:v>
                </c:pt>
                <c:pt idx="88">
                  <c:v>2.5380710659898477E-2</c:v>
                </c:pt>
                <c:pt idx="89">
                  <c:v>2.7918781725888325E-2</c:v>
                </c:pt>
                <c:pt idx="90">
                  <c:v>3.0456852791878174E-2</c:v>
                </c:pt>
                <c:pt idx="91">
                  <c:v>3.2994923857868022E-2</c:v>
                </c:pt>
                <c:pt idx="92">
                  <c:v>3.553299492385787E-2</c:v>
                </c:pt>
                <c:pt idx="93">
                  <c:v>4.060913705583756E-2</c:v>
                </c:pt>
                <c:pt idx="94">
                  <c:v>4.5685279187817257E-2</c:v>
                </c:pt>
                <c:pt idx="95">
                  <c:v>5.0761421319796954E-2</c:v>
                </c:pt>
                <c:pt idx="96">
                  <c:v>5.5837563451776651E-2</c:v>
                </c:pt>
                <c:pt idx="97">
                  <c:v>6.0913705583756347E-2</c:v>
                </c:pt>
                <c:pt idx="98">
                  <c:v>6.5989847715736044E-2</c:v>
                </c:pt>
                <c:pt idx="99">
                  <c:v>7.1065989847715741E-2</c:v>
                </c:pt>
                <c:pt idx="100">
                  <c:v>7.6142131979695438E-2</c:v>
                </c:pt>
                <c:pt idx="101">
                  <c:v>8.1218274111675121E-2</c:v>
                </c:pt>
                <c:pt idx="102">
                  <c:v>8.6294416243654817E-2</c:v>
                </c:pt>
                <c:pt idx="103">
                  <c:v>9.1370558375634514E-2</c:v>
                </c:pt>
                <c:pt idx="104">
                  <c:v>0.10152284263959391</c:v>
                </c:pt>
                <c:pt idx="105">
                  <c:v>0.11421319796954314</c:v>
                </c:pt>
                <c:pt idx="106">
                  <c:v>0.12690355329949238</c:v>
                </c:pt>
                <c:pt idx="107">
                  <c:v>0.13959390862944163</c:v>
                </c:pt>
                <c:pt idx="108">
                  <c:v>0.15228426395939088</c:v>
                </c:pt>
                <c:pt idx="109">
                  <c:v>0.1649746192893401</c:v>
                </c:pt>
                <c:pt idx="110">
                  <c:v>0.17766497461928935</c:v>
                </c:pt>
                <c:pt idx="111">
                  <c:v>0.19035532994923857</c:v>
                </c:pt>
                <c:pt idx="112">
                  <c:v>0.20304568527918782</c:v>
                </c:pt>
                <c:pt idx="113">
                  <c:v>0.22842639593908629</c:v>
                </c:pt>
                <c:pt idx="114">
                  <c:v>0.25380710659898476</c:v>
                </c:pt>
                <c:pt idx="115">
                  <c:v>0.27918781725888325</c:v>
                </c:pt>
                <c:pt idx="116">
                  <c:v>0.30456852791878175</c:v>
                </c:pt>
                <c:pt idx="117">
                  <c:v>0.32994923857868019</c:v>
                </c:pt>
                <c:pt idx="118">
                  <c:v>0.35532994923857869</c:v>
                </c:pt>
                <c:pt idx="119">
                  <c:v>0.40609137055837563</c:v>
                </c:pt>
                <c:pt idx="120">
                  <c:v>0.45685279187817257</c:v>
                </c:pt>
                <c:pt idx="121">
                  <c:v>0.50761421319796951</c:v>
                </c:pt>
                <c:pt idx="122">
                  <c:v>0.55837563451776651</c:v>
                </c:pt>
                <c:pt idx="123">
                  <c:v>0.6091370558375635</c:v>
                </c:pt>
                <c:pt idx="124">
                  <c:v>0.65989847715736039</c:v>
                </c:pt>
                <c:pt idx="125">
                  <c:v>0.71065989847715738</c:v>
                </c:pt>
                <c:pt idx="126">
                  <c:v>0.76142131979695427</c:v>
                </c:pt>
                <c:pt idx="127">
                  <c:v>0.81218274111675126</c:v>
                </c:pt>
                <c:pt idx="128">
                  <c:v>0.86294416243654826</c:v>
                </c:pt>
                <c:pt idx="129">
                  <c:v>0.91370558375634514</c:v>
                </c:pt>
                <c:pt idx="130" formatCode="0.000_ ">
                  <c:v>1.015228426395939</c:v>
                </c:pt>
                <c:pt idx="131" formatCode="0.000_ ">
                  <c:v>1.1421319796954315</c:v>
                </c:pt>
                <c:pt idx="132" formatCode="0.000_ ">
                  <c:v>1.2690355329949239</c:v>
                </c:pt>
                <c:pt idx="133" formatCode="0.000_ ">
                  <c:v>1.3959390862944163</c:v>
                </c:pt>
                <c:pt idx="134" formatCode="0.000_ ">
                  <c:v>1.5228426395939085</c:v>
                </c:pt>
                <c:pt idx="135" formatCode="0.000_ ">
                  <c:v>1.649746192893401</c:v>
                </c:pt>
                <c:pt idx="136" formatCode="0.000_ ">
                  <c:v>1.7766497461928934</c:v>
                </c:pt>
                <c:pt idx="137" formatCode="0.000_ ">
                  <c:v>1.9035532994923858</c:v>
                </c:pt>
                <c:pt idx="138" formatCode="0.000_ ">
                  <c:v>2.030456852791878</c:v>
                </c:pt>
                <c:pt idx="139" formatCode="0.000_ ">
                  <c:v>2.2842639593908629</c:v>
                </c:pt>
                <c:pt idx="140" formatCode="0.000_ ">
                  <c:v>2.5380710659898478</c:v>
                </c:pt>
                <c:pt idx="141" formatCode="0.000_ ">
                  <c:v>2.7918781725888326</c:v>
                </c:pt>
                <c:pt idx="142" formatCode="0.000_ ">
                  <c:v>3.0456852791878171</c:v>
                </c:pt>
                <c:pt idx="143" formatCode="0.000_ ">
                  <c:v>3.2994923857868019</c:v>
                </c:pt>
                <c:pt idx="144" formatCode="0.000_ ">
                  <c:v>3.5532994923857868</c:v>
                </c:pt>
                <c:pt idx="145" formatCode="0.000_ ">
                  <c:v>4.0609137055837561</c:v>
                </c:pt>
                <c:pt idx="146" formatCode="0.000_ ">
                  <c:v>4.5685279187817258</c:v>
                </c:pt>
                <c:pt idx="147" formatCode="0.000_ ">
                  <c:v>5.0761421319796955</c:v>
                </c:pt>
                <c:pt idx="148" formatCode="0.000_ ">
                  <c:v>5.5837563451776653</c:v>
                </c:pt>
                <c:pt idx="149" formatCode="0.000_ ">
                  <c:v>6.0913705583756341</c:v>
                </c:pt>
                <c:pt idx="150" formatCode="0.000_ ">
                  <c:v>6.5989847715736039</c:v>
                </c:pt>
                <c:pt idx="151" formatCode="0.000_ ">
                  <c:v>7.1065989847715736</c:v>
                </c:pt>
                <c:pt idx="152" formatCode="0.000_ ">
                  <c:v>7.6142131979695433</c:v>
                </c:pt>
                <c:pt idx="153" formatCode="0.000_ ">
                  <c:v>8.1218274111675122</c:v>
                </c:pt>
                <c:pt idx="154" formatCode="0.000_ ">
                  <c:v>8.6294416243654819</c:v>
                </c:pt>
                <c:pt idx="155" formatCode="0.000_ ">
                  <c:v>9.1370558375634516</c:v>
                </c:pt>
                <c:pt idx="156" formatCode="0.000_ ">
                  <c:v>10.152284263959391</c:v>
                </c:pt>
                <c:pt idx="157" formatCode="0.000_ ">
                  <c:v>11.421319796954315</c:v>
                </c:pt>
                <c:pt idx="158" formatCode="0.000_ ">
                  <c:v>12.690355329949238</c:v>
                </c:pt>
                <c:pt idx="159" formatCode="0.000_ ">
                  <c:v>13.959390862944163</c:v>
                </c:pt>
                <c:pt idx="160" formatCode="0.000_ ">
                  <c:v>15.228426395939087</c:v>
                </c:pt>
                <c:pt idx="161" formatCode="0.000_ ">
                  <c:v>16.497461928934012</c:v>
                </c:pt>
                <c:pt idx="162" formatCode="0.000_ ">
                  <c:v>17.766497461928935</c:v>
                </c:pt>
                <c:pt idx="163" formatCode="0.000_ ">
                  <c:v>19.035532994923859</c:v>
                </c:pt>
                <c:pt idx="164" formatCode="0.000_ ">
                  <c:v>20.304568527918782</c:v>
                </c:pt>
                <c:pt idx="165" formatCode="0.000_ ">
                  <c:v>22.842639593908629</c:v>
                </c:pt>
                <c:pt idx="166" formatCode="0.000_ ">
                  <c:v>25.380710659898476</c:v>
                </c:pt>
                <c:pt idx="167" formatCode="0.000_ ">
                  <c:v>27.918781725888326</c:v>
                </c:pt>
                <c:pt idx="168" formatCode="0.000_ ">
                  <c:v>30.456852791878173</c:v>
                </c:pt>
                <c:pt idx="169" formatCode="0.000_ ">
                  <c:v>32.994923857868024</c:v>
                </c:pt>
                <c:pt idx="170" formatCode="0.000_ ">
                  <c:v>35.532994923857871</c:v>
                </c:pt>
                <c:pt idx="171" formatCode="0.000_ ">
                  <c:v>40.609137055837564</c:v>
                </c:pt>
                <c:pt idx="172" formatCode="0.000_ ">
                  <c:v>45.685279187817258</c:v>
                </c:pt>
                <c:pt idx="173" formatCode="0.000_ ">
                  <c:v>50.761421319796952</c:v>
                </c:pt>
                <c:pt idx="174" formatCode="0.000_ ">
                  <c:v>55.837563451776653</c:v>
                </c:pt>
                <c:pt idx="175" formatCode="0.000_ ">
                  <c:v>60.913705583756347</c:v>
                </c:pt>
                <c:pt idx="176" formatCode="0.000_ ">
                  <c:v>65.989847715736047</c:v>
                </c:pt>
                <c:pt idx="177" formatCode="0.000_ ">
                  <c:v>71.065989847715741</c:v>
                </c:pt>
                <c:pt idx="178" formatCode="0.000_ ">
                  <c:v>76.142131979695435</c:v>
                </c:pt>
                <c:pt idx="179" formatCode="0.000_ ">
                  <c:v>81.218274111675129</c:v>
                </c:pt>
                <c:pt idx="180" formatCode="0.000_ ">
                  <c:v>86.294416243654823</c:v>
                </c:pt>
                <c:pt idx="181" formatCode="0.000_ ">
                  <c:v>91.370558375634516</c:v>
                </c:pt>
                <c:pt idx="182" formatCode="0.00_ ">
                  <c:v>101.5228426395939</c:v>
                </c:pt>
                <c:pt idx="183" formatCode="0.00_ ">
                  <c:v>114.21319796954315</c:v>
                </c:pt>
                <c:pt idx="184" formatCode="0.00_ ">
                  <c:v>126.90355329949239</c:v>
                </c:pt>
                <c:pt idx="185" formatCode="0.00_ ">
                  <c:v>139.59390862944161</c:v>
                </c:pt>
                <c:pt idx="186" formatCode="0.00_ ">
                  <c:v>152.28426395939087</c:v>
                </c:pt>
                <c:pt idx="187" formatCode="0.00_ ">
                  <c:v>164.9746192893401</c:v>
                </c:pt>
                <c:pt idx="188" formatCode="0.00_ ">
                  <c:v>177.66497461928935</c:v>
                </c:pt>
                <c:pt idx="189" formatCode="0.00_ ">
                  <c:v>190.35532994923858</c:v>
                </c:pt>
                <c:pt idx="190" formatCode="0.00_ ">
                  <c:v>203.04568527918781</c:v>
                </c:pt>
                <c:pt idx="191" formatCode="0.00_ ">
                  <c:v>228.42639593908629</c:v>
                </c:pt>
                <c:pt idx="192" formatCode="0.00_ ">
                  <c:v>253.80710659898477</c:v>
                </c:pt>
                <c:pt idx="193" formatCode="0.00_ ">
                  <c:v>279.18781725888323</c:v>
                </c:pt>
                <c:pt idx="194" formatCode="0.00_ ">
                  <c:v>304.56852791878174</c:v>
                </c:pt>
                <c:pt idx="195" formatCode="0.00_ ">
                  <c:v>329.94923857868019</c:v>
                </c:pt>
                <c:pt idx="196" formatCode="0.00_ ">
                  <c:v>355.32994923857871</c:v>
                </c:pt>
                <c:pt idx="197" formatCode="0.00_ ">
                  <c:v>406.09137055837562</c:v>
                </c:pt>
                <c:pt idx="198" formatCode="0.00_ ">
                  <c:v>456.85279187817258</c:v>
                </c:pt>
                <c:pt idx="199" formatCode="0.00_ ">
                  <c:v>507.61421319796955</c:v>
                </c:pt>
                <c:pt idx="200" formatCode="0.00_ ">
                  <c:v>558.37563451776646</c:v>
                </c:pt>
                <c:pt idx="201" formatCode="0.00_ ">
                  <c:v>609.13705583756348</c:v>
                </c:pt>
                <c:pt idx="202" formatCode="0.00_ ">
                  <c:v>659.89847715736039</c:v>
                </c:pt>
                <c:pt idx="203" formatCode="0.00_ ">
                  <c:v>710.65989847715741</c:v>
                </c:pt>
                <c:pt idx="204" formatCode="0.00_ ">
                  <c:v>761.42131979695432</c:v>
                </c:pt>
                <c:pt idx="205" formatCode="0.00_ ">
                  <c:v>812.18274111675123</c:v>
                </c:pt>
                <c:pt idx="206" formatCode="0.00_ ">
                  <c:v>862.94416243654825</c:v>
                </c:pt>
                <c:pt idx="207" formatCode="0.00_ ">
                  <c:v>913.70558375634516</c:v>
                </c:pt>
                <c:pt idx="208" formatCode="0.00_ ">
                  <c:v>1000</c:v>
                </c:pt>
              </c:numCache>
            </c:numRef>
          </c:xVal>
          <c:yVal>
            <c:numRef>
              <c:f>'dbg12'!$N$11:$N$219</c:f>
              <c:numCache>
                <c:formatCode>0.000E+00</c:formatCode>
                <c:ptCount val="209"/>
                <c:pt idx="0">
                  <c:v>0.80159999999999998</c:v>
                </c:pt>
                <c:pt idx="1">
                  <c:v>0.8538</c:v>
                </c:pt>
                <c:pt idx="2">
                  <c:v>0.90290000000000004</c:v>
                </c:pt>
                <c:pt idx="3">
                  <c:v>0.94920000000000004</c:v>
                </c:pt>
                <c:pt idx="4">
                  <c:v>0.99319999999999997</c:v>
                </c:pt>
                <c:pt idx="5">
                  <c:v>1.0349999999999999</c:v>
                </c:pt>
                <c:pt idx="6">
                  <c:v>1.075</c:v>
                </c:pt>
                <c:pt idx="7">
                  <c:v>1.113</c:v>
                </c:pt>
                <c:pt idx="8">
                  <c:v>1.1499999999999999</c:v>
                </c:pt>
                <c:pt idx="9">
                  <c:v>1.22</c:v>
                </c:pt>
                <c:pt idx="10">
                  <c:v>1.2849999999999999</c:v>
                </c:pt>
                <c:pt idx="11">
                  <c:v>1.3460000000000001</c:v>
                </c:pt>
                <c:pt idx="12">
                  <c:v>1.4039999999999999</c:v>
                </c:pt>
                <c:pt idx="13">
                  <c:v>1.458</c:v>
                </c:pt>
                <c:pt idx="14">
                  <c:v>1.51</c:v>
                </c:pt>
                <c:pt idx="15">
                  <c:v>1.607</c:v>
                </c:pt>
                <c:pt idx="16">
                  <c:v>1.696</c:v>
                </c:pt>
                <c:pt idx="17">
                  <c:v>1.778</c:v>
                </c:pt>
                <c:pt idx="18">
                  <c:v>1.8540000000000001</c:v>
                </c:pt>
                <c:pt idx="19">
                  <c:v>1.9259999999999999</c:v>
                </c:pt>
                <c:pt idx="20">
                  <c:v>1.994</c:v>
                </c:pt>
                <c:pt idx="21">
                  <c:v>2.0569999999999999</c:v>
                </c:pt>
                <c:pt idx="22">
                  <c:v>2.1179999999999999</c:v>
                </c:pt>
                <c:pt idx="23">
                  <c:v>2.1749999999999998</c:v>
                </c:pt>
                <c:pt idx="24">
                  <c:v>2.23</c:v>
                </c:pt>
                <c:pt idx="25">
                  <c:v>2.282</c:v>
                </c:pt>
                <c:pt idx="26">
                  <c:v>2.38</c:v>
                </c:pt>
                <c:pt idx="27">
                  <c:v>2.492</c:v>
                </c:pt>
                <c:pt idx="28">
                  <c:v>2.5939999999999999</c:v>
                </c:pt>
                <c:pt idx="29">
                  <c:v>2.6880000000000002</c:v>
                </c:pt>
                <c:pt idx="30">
                  <c:v>2.7749999999999999</c:v>
                </c:pt>
                <c:pt idx="31">
                  <c:v>2.855</c:v>
                </c:pt>
                <c:pt idx="32">
                  <c:v>2.931</c:v>
                </c:pt>
                <c:pt idx="33">
                  <c:v>3.0019999999999998</c:v>
                </c:pt>
                <c:pt idx="34">
                  <c:v>3.0680000000000001</c:v>
                </c:pt>
                <c:pt idx="35">
                  <c:v>3.19</c:v>
                </c:pt>
                <c:pt idx="36">
                  <c:v>3.3</c:v>
                </c:pt>
                <c:pt idx="37">
                  <c:v>3.4</c:v>
                </c:pt>
                <c:pt idx="38">
                  <c:v>3.4910000000000001</c:v>
                </c:pt>
                <c:pt idx="39">
                  <c:v>3.5750000000000002</c:v>
                </c:pt>
                <c:pt idx="40">
                  <c:v>3.6520000000000001</c:v>
                </c:pt>
                <c:pt idx="41">
                  <c:v>3.7909999999999999</c:v>
                </c:pt>
                <c:pt idx="42">
                  <c:v>3.9119999999999999</c:v>
                </c:pt>
                <c:pt idx="43">
                  <c:v>4.0179999999999998</c:v>
                </c:pt>
                <c:pt idx="44">
                  <c:v>4.1130000000000004</c:v>
                </c:pt>
                <c:pt idx="45">
                  <c:v>4.1980000000000004</c:v>
                </c:pt>
                <c:pt idx="46">
                  <c:v>4.2750000000000004</c:v>
                </c:pt>
                <c:pt idx="47">
                  <c:v>4.3440000000000003</c:v>
                </c:pt>
                <c:pt idx="48">
                  <c:v>4.4080000000000004</c:v>
                </c:pt>
                <c:pt idx="49">
                  <c:v>4.4660000000000002</c:v>
                </c:pt>
                <c:pt idx="50">
                  <c:v>4.5190000000000001</c:v>
                </c:pt>
                <c:pt idx="51">
                  <c:v>4.5679999999999996</c:v>
                </c:pt>
                <c:pt idx="52">
                  <c:v>4.6559999999999997</c:v>
                </c:pt>
                <c:pt idx="53">
                  <c:v>4.7480000000000002</c:v>
                </c:pt>
                <c:pt idx="54">
                  <c:v>4.8250000000000002</c:v>
                </c:pt>
                <c:pt idx="55">
                  <c:v>4.8890000000000002</c:v>
                </c:pt>
                <c:pt idx="56">
                  <c:v>4.944</c:v>
                </c:pt>
                <c:pt idx="57">
                  <c:v>4.9909999999999997</c:v>
                </c:pt>
                <c:pt idx="58">
                  <c:v>5.0309999999999997</c:v>
                </c:pt>
                <c:pt idx="59">
                  <c:v>5.0650000000000004</c:v>
                </c:pt>
                <c:pt idx="60">
                  <c:v>5.093</c:v>
                </c:pt>
                <c:pt idx="61">
                  <c:v>5.1379999999999999</c:v>
                </c:pt>
                <c:pt idx="62">
                  <c:v>5.17</c:v>
                </c:pt>
                <c:pt idx="63">
                  <c:v>5.1909999999999998</c:v>
                </c:pt>
                <c:pt idx="64">
                  <c:v>5.2039999999999997</c:v>
                </c:pt>
                <c:pt idx="65">
                  <c:v>5.2110000000000003</c:v>
                </c:pt>
                <c:pt idx="66">
                  <c:v>5.2119999999999997</c:v>
                </c:pt>
                <c:pt idx="67">
                  <c:v>5.202</c:v>
                </c:pt>
                <c:pt idx="68">
                  <c:v>5.1790000000000003</c:v>
                </c:pt>
                <c:pt idx="69">
                  <c:v>5.149</c:v>
                </c:pt>
                <c:pt idx="70">
                  <c:v>5.1120000000000001</c:v>
                </c:pt>
                <c:pt idx="71">
                  <c:v>5.0720000000000001</c:v>
                </c:pt>
                <c:pt idx="72">
                  <c:v>5.0279999999999996</c:v>
                </c:pt>
                <c:pt idx="73">
                  <c:v>4.9829999999999997</c:v>
                </c:pt>
                <c:pt idx="74">
                  <c:v>4.9359999999999999</c:v>
                </c:pt>
                <c:pt idx="75">
                  <c:v>4.8890000000000002</c:v>
                </c:pt>
                <c:pt idx="76">
                  <c:v>4.8410000000000002</c:v>
                </c:pt>
                <c:pt idx="77">
                  <c:v>4.7930000000000001</c:v>
                </c:pt>
                <c:pt idx="78">
                  <c:v>4.6989999999999998</c:v>
                </c:pt>
                <c:pt idx="79">
                  <c:v>4.5819999999999999</c:v>
                </c:pt>
                <c:pt idx="80">
                  <c:v>4.47</c:v>
                </c:pt>
                <c:pt idx="81">
                  <c:v>4.3630000000000004</c:v>
                </c:pt>
                <c:pt idx="82">
                  <c:v>4.26</c:v>
                </c:pt>
                <c:pt idx="83">
                  <c:v>4.1619999999999999</c:v>
                </c:pt>
                <c:pt idx="84">
                  <c:v>4.069</c:v>
                </c:pt>
                <c:pt idx="85">
                  <c:v>3.98</c:v>
                </c:pt>
                <c:pt idx="86">
                  <c:v>3.895</c:v>
                </c:pt>
                <c:pt idx="87">
                  <c:v>3.738</c:v>
                </c:pt>
                <c:pt idx="88">
                  <c:v>3.5939999999999999</c:v>
                </c:pt>
                <c:pt idx="89">
                  <c:v>3.4620000000000002</c:v>
                </c:pt>
                <c:pt idx="90">
                  <c:v>3.3410000000000002</c:v>
                </c:pt>
                <c:pt idx="91">
                  <c:v>3.23</c:v>
                </c:pt>
                <c:pt idx="92">
                  <c:v>3.1269999999999998</c:v>
                </c:pt>
                <c:pt idx="93">
                  <c:v>2.9430000000000001</c:v>
                </c:pt>
                <c:pt idx="94">
                  <c:v>2.782</c:v>
                </c:pt>
                <c:pt idx="95">
                  <c:v>2.641</c:v>
                </c:pt>
                <c:pt idx="96">
                  <c:v>2.516</c:v>
                </c:pt>
                <c:pt idx="97">
                  <c:v>2.4039999999999999</c:v>
                </c:pt>
                <c:pt idx="98">
                  <c:v>2.3029999999999999</c:v>
                </c:pt>
                <c:pt idx="99">
                  <c:v>2.2109999999999999</c:v>
                </c:pt>
                <c:pt idx="100">
                  <c:v>2.1280000000000001</c:v>
                </c:pt>
                <c:pt idx="101">
                  <c:v>2.052</c:v>
                </c:pt>
                <c:pt idx="102">
                  <c:v>1.982</c:v>
                </c:pt>
                <c:pt idx="103">
                  <c:v>1.917</c:v>
                </c:pt>
                <c:pt idx="104">
                  <c:v>1.8009999999999999</c:v>
                </c:pt>
                <c:pt idx="105">
                  <c:v>1.677</c:v>
                </c:pt>
                <c:pt idx="106">
                  <c:v>1.571</c:v>
                </c:pt>
                <c:pt idx="107">
                  <c:v>1.48</c:v>
                </c:pt>
                <c:pt idx="108">
                  <c:v>1.4</c:v>
                </c:pt>
                <c:pt idx="109">
                  <c:v>1.329</c:v>
                </c:pt>
                <c:pt idx="110">
                  <c:v>1.266</c:v>
                </c:pt>
                <c:pt idx="111">
                  <c:v>1.2090000000000001</c:v>
                </c:pt>
                <c:pt idx="112">
                  <c:v>1.1579999999999999</c:v>
                </c:pt>
                <c:pt idx="113">
                  <c:v>1.07</c:v>
                </c:pt>
                <c:pt idx="114">
                  <c:v>0.995</c:v>
                </c:pt>
                <c:pt idx="115">
                  <c:v>0.93120000000000003</c:v>
                </c:pt>
                <c:pt idx="116">
                  <c:v>0.876</c:v>
                </c:pt>
                <c:pt idx="117">
                  <c:v>0.82769999999999999</c:v>
                </c:pt>
                <c:pt idx="118">
                  <c:v>0.78500000000000003</c:v>
                </c:pt>
                <c:pt idx="119">
                  <c:v>0.71289999999999998</c:v>
                </c:pt>
                <c:pt idx="120">
                  <c:v>0.65410000000000001</c:v>
                </c:pt>
                <c:pt idx="121">
                  <c:v>0.60519999999999996</c:v>
                </c:pt>
                <c:pt idx="122">
                  <c:v>0.56379999999999997</c:v>
                </c:pt>
                <c:pt idx="123">
                  <c:v>0.5282</c:v>
                </c:pt>
                <c:pt idx="124">
                  <c:v>0.49730000000000002</c:v>
                </c:pt>
                <c:pt idx="125">
                  <c:v>0.47010000000000002</c:v>
                </c:pt>
                <c:pt idx="126">
                  <c:v>0.44600000000000001</c:v>
                </c:pt>
                <c:pt idx="127">
                  <c:v>0.42449999999999999</c:v>
                </c:pt>
                <c:pt idx="128">
                  <c:v>0.40510000000000002</c:v>
                </c:pt>
                <c:pt idx="129">
                  <c:v>0.3876</c:v>
                </c:pt>
                <c:pt idx="130">
                  <c:v>0.35720000000000002</c:v>
                </c:pt>
                <c:pt idx="131">
                  <c:v>0.32579999999999998</c:v>
                </c:pt>
                <c:pt idx="132">
                  <c:v>0.29980000000000001</c:v>
                </c:pt>
                <c:pt idx="133">
                  <c:v>0.27810000000000001</c:v>
                </c:pt>
                <c:pt idx="134">
                  <c:v>0.25950000000000001</c:v>
                </c:pt>
                <c:pt idx="135">
                  <c:v>0.24340000000000001</c:v>
                </c:pt>
                <c:pt idx="136">
                  <c:v>0.22939999999999999</c:v>
                </c:pt>
                <c:pt idx="137">
                  <c:v>0.217</c:v>
                </c:pt>
                <c:pt idx="138">
                  <c:v>0.20599999999999999</c:v>
                </c:pt>
                <c:pt idx="139">
                  <c:v>0.18720000000000001</c:v>
                </c:pt>
                <c:pt idx="140">
                  <c:v>0.17180000000000001</c:v>
                </c:pt>
                <c:pt idx="141">
                  <c:v>0.159</c:v>
                </c:pt>
                <c:pt idx="142">
                  <c:v>0.14799999999999999</c:v>
                </c:pt>
                <c:pt idx="143">
                  <c:v>0.1386</c:v>
                </c:pt>
                <c:pt idx="144">
                  <c:v>0.1303</c:v>
                </c:pt>
                <c:pt idx="145">
                  <c:v>0.1167</c:v>
                </c:pt>
                <c:pt idx="146">
                  <c:v>0.10580000000000001</c:v>
                </c:pt>
                <c:pt idx="147">
                  <c:v>9.6879999999999994E-2</c:v>
                </c:pt>
                <c:pt idx="148">
                  <c:v>8.9440000000000006E-2</c:v>
                </c:pt>
                <c:pt idx="149">
                  <c:v>8.3129999999999996E-2</c:v>
                </c:pt>
                <c:pt idx="150">
                  <c:v>7.7710000000000001E-2</c:v>
                </c:pt>
                <c:pt idx="151">
                  <c:v>7.2989999999999999E-2</c:v>
                </c:pt>
                <c:pt idx="152">
                  <c:v>6.8849999999999995E-2</c:v>
                </c:pt>
                <c:pt idx="153">
                  <c:v>6.5180000000000002E-2</c:v>
                </c:pt>
                <c:pt idx="154">
                  <c:v>6.191E-2</c:v>
                </c:pt>
                <c:pt idx="155">
                  <c:v>5.8970000000000002E-2</c:v>
                </c:pt>
                <c:pt idx="156">
                  <c:v>5.391E-2</c:v>
                </c:pt>
                <c:pt idx="157">
                  <c:v>4.8739999999999999E-2</c:v>
                </c:pt>
                <c:pt idx="158">
                  <c:v>4.453E-2</c:v>
                </c:pt>
                <c:pt idx="159">
                  <c:v>4.1029999999999997E-2</c:v>
                </c:pt>
                <c:pt idx="160">
                  <c:v>3.8059999999999997E-2</c:v>
                </c:pt>
                <c:pt idx="161">
                  <c:v>3.5520000000000003E-2</c:v>
                </c:pt>
                <c:pt idx="162">
                  <c:v>3.3320000000000002E-2</c:v>
                </c:pt>
                <c:pt idx="163">
                  <c:v>3.1390000000000001E-2</c:v>
                </c:pt>
                <c:pt idx="164">
                  <c:v>2.9680000000000002E-2</c:v>
                </c:pt>
                <c:pt idx="165">
                  <c:v>2.6790000000000001E-2</c:v>
                </c:pt>
                <c:pt idx="166">
                  <c:v>2.444E-2</c:v>
                </c:pt>
                <c:pt idx="167">
                  <c:v>2.249E-2</c:v>
                </c:pt>
                <c:pt idx="168">
                  <c:v>2.085E-2</c:v>
                </c:pt>
                <c:pt idx="169">
                  <c:v>1.9439999999999999E-2</c:v>
                </c:pt>
                <c:pt idx="170">
                  <c:v>1.821E-2</c:v>
                </c:pt>
                <c:pt idx="171">
                  <c:v>1.6199999999999999E-2</c:v>
                </c:pt>
                <c:pt idx="172">
                  <c:v>1.46E-2</c:v>
                </c:pt>
                <c:pt idx="173">
                  <c:v>1.3310000000000001E-2</c:v>
                </c:pt>
                <c:pt idx="174">
                  <c:v>1.223E-2</c:v>
                </c:pt>
                <c:pt idx="175">
                  <c:v>1.133E-2</c:v>
                </c:pt>
                <c:pt idx="176">
                  <c:v>1.055E-2</c:v>
                </c:pt>
                <c:pt idx="177">
                  <c:v>9.8829999999999994E-3</c:v>
                </c:pt>
                <c:pt idx="178">
                  <c:v>9.2960000000000004E-3</c:v>
                </c:pt>
                <c:pt idx="179">
                  <c:v>8.7779999999999993E-3</c:v>
                </c:pt>
                <c:pt idx="180">
                  <c:v>8.3169999999999997E-3</c:v>
                </c:pt>
                <c:pt idx="181">
                  <c:v>7.9050000000000006E-3</c:v>
                </c:pt>
                <c:pt idx="182">
                  <c:v>7.1970000000000003E-3</c:v>
                </c:pt>
                <c:pt idx="183">
                  <c:v>6.4790000000000004E-3</c:v>
                </c:pt>
                <c:pt idx="184">
                  <c:v>5.8970000000000003E-3</c:v>
                </c:pt>
                <c:pt idx="185">
                  <c:v>5.4149999999999997E-3</c:v>
                </c:pt>
                <c:pt idx="186">
                  <c:v>5.0090000000000004E-3</c:v>
                </c:pt>
                <c:pt idx="187">
                  <c:v>4.6620000000000003E-3</c:v>
                </c:pt>
                <c:pt idx="188">
                  <c:v>4.3620000000000004E-3</c:v>
                </c:pt>
                <c:pt idx="189">
                  <c:v>4.1000000000000003E-3</c:v>
                </c:pt>
                <c:pt idx="190">
                  <c:v>3.869E-3</c:v>
                </c:pt>
                <c:pt idx="191">
                  <c:v>3.48E-3</c:v>
                </c:pt>
                <c:pt idx="192">
                  <c:v>3.1649999999999998E-3</c:v>
                </c:pt>
                <c:pt idx="193">
                  <c:v>2.9039999999999999E-3</c:v>
                </c:pt>
                <c:pt idx="194">
                  <c:v>2.6849999999999999E-3</c:v>
                </c:pt>
                <c:pt idx="195">
                  <c:v>2.4970000000000001E-3</c:v>
                </c:pt>
                <c:pt idx="196">
                  <c:v>2.336E-3</c:v>
                </c:pt>
                <c:pt idx="197">
                  <c:v>2.0699999999999998E-3</c:v>
                </c:pt>
                <c:pt idx="198">
                  <c:v>1.8600000000000001E-3</c:v>
                </c:pt>
                <c:pt idx="199">
                  <c:v>1.6900000000000001E-3</c:v>
                </c:pt>
                <c:pt idx="200">
                  <c:v>1.5499999999999999E-3</c:v>
                </c:pt>
                <c:pt idx="201">
                  <c:v>1.4319999999999999E-3</c:v>
                </c:pt>
                <c:pt idx="202">
                  <c:v>1.3320000000000001E-3</c:v>
                </c:pt>
                <c:pt idx="203">
                  <c:v>1.245E-3</c:v>
                </c:pt>
                <c:pt idx="204">
                  <c:v>1.1689999999999999E-3</c:v>
                </c:pt>
                <c:pt idx="205">
                  <c:v>1.1019999999999999E-3</c:v>
                </c:pt>
                <c:pt idx="206">
                  <c:v>1.0430000000000001E-3</c:v>
                </c:pt>
                <c:pt idx="207">
                  <c:v>9.8999999999999999E-4</c:v>
                </c:pt>
                <c:pt idx="208">
                  <c:v>9.1169999999999999E-4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FA0-4DA7-AA87-2285BFD36D78}"/>
            </c:ext>
          </c:extLst>
        </c:ser>
        <c:ser>
          <c:idx val="0"/>
          <c:order val="2"/>
          <c:tx>
            <c:v>LETt</c:v>
          </c:tx>
          <c:spPr>
            <a:ln w="63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'dbg12'!$L$11:$L$219</c:f>
              <c:numCache>
                <c:formatCode>0.00000_ </c:formatCode>
                <c:ptCount val="209"/>
                <c:pt idx="0">
                  <c:v>1.0152284263959391E-5</c:v>
                </c:pt>
                <c:pt idx="1">
                  <c:v>1.1421319796954314E-5</c:v>
                </c:pt>
                <c:pt idx="2">
                  <c:v>1.2690355329949238E-5</c:v>
                </c:pt>
                <c:pt idx="3">
                  <c:v>1.3959390862944161E-5</c:v>
                </c:pt>
                <c:pt idx="4">
                  <c:v>1.5228426395939086E-5</c:v>
                </c:pt>
                <c:pt idx="5">
                  <c:v>1.6497461928934009E-5</c:v>
                </c:pt>
                <c:pt idx="6">
                  <c:v>1.7766497461928935E-5</c:v>
                </c:pt>
                <c:pt idx="7">
                  <c:v>1.9035532994923858E-5</c:v>
                </c:pt>
                <c:pt idx="8">
                  <c:v>2.0304568527918781E-5</c:v>
                </c:pt>
                <c:pt idx="9">
                  <c:v>2.2842639593908627E-5</c:v>
                </c:pt>
                <c:pt idx="10">
                  <c:v>2.5380710659898476E-5</c:v>
                </c:pt>
                <c:pt idx="11">
                  <c:v>2.7918781725888322E-5</c:v>
                </c:pt>
                <c:pt idx="12">
                  <c:v>3.0456852791878172E-5</c:v>
                </c:pt>
                <c:pt idx="13">
                  <c:v>3.2994923857868018E-5</c:v>
                </c:pt>
                <c:pt idx="14">
                  <c:v>3.553299492385787E-5</c:v>
                </c:pt>
                <c:pt idx="15">
                  <c:v>4.0609137055837562E-5</c:v>
                </c:pt>
                <c:pt idx="16">
                  <c:v>4.5685279187817254E-5</c:v>
                </c:pt>
                <c:pt idx="17">
                  <c:v>5.0761421319796953E-5</c:v>
                </c:pt>
                <c:pt idx="18">
                  <c:v>5.5837563451776645E-5</c:v>
                </c:pt>
                <c:pt idx="19">
                  <c:v>6.0913705583756343E-5</c:v>
                </c:pt>
                <c:pt idx="20">
                  <c:v>6.5989847715736035E-5</c:v>
                </c:pt>
                <c:pt idx="21">
                  <c:v>7.1065989847715741E-5</c:v>
                </c:pt>
                <c:pt idx="22">
                  <c:v>7.6142131979695433E-5</c:v>
                </c:pt>
                <c:pt idx="23">
                  <c:v>8.1218274111675124E-5</c:v>
                </c:pt>
                <c:pt idx="24">
                  <c:v>8.629441624365483E-5</c:v>
                </c:pt>
                <c:pt idx="25">
                  <c:v>9.1370558375634508E-5</c:v>
                </c:pt>
                <c:pt idx="26">
                  <c:v>1.0152284263959391E-4</c:v>
                </c:pt>
                <c:pt idx="27">
                  <c:v>1.1421319796954314E-4</c:v>
                </c:pt>
                <c:pt idx="28">
                  <c:v>1.2690355329949239E-4</c:v>
                </c:pt>
                <c:pt idx="29">
                  <c:v>1.3959390862944163E-4</c:v>
                </c:pt>
                <c:pt idx="30">
                  <c:v>1.5228426395939087E-4</c:v>
                </c:pt>
                <c:pt idx="31">
                  <c:v>1.649746192893401E-4</c:v>
                </c:pt>
                <c:pt idx="32">
                  <c:v>1.7766497461928937E-4</c:v>
                </c:pt>
                <c:pt idx="33">
                  <c:v>1.9035532994923857E-4</c:v>
                </c:pt>
                <c:pt idx="34">
                  <c:v>2.0304568527918781E-4</c:v>
                </c:pt>
                <c:pt idx="35">
                  <c:v>2.2842639593908628E-4</c:v>
                </c:pt>
                <c:pt idx="36">
                  <c:v>2.5380710659898478E-4</c:v>
                </c:pt>
                <c:pt idx="37">
                  <c:v>2.7918781725888326E-4</c:v>
                </c:pt>
                <c:pt idx="38">
                  <c:v>3.0456852791878173E-4</c:v>
                </c:pt>
                <c:pt idx="39">
                  <c:v>3.299492385786802E-4</c:v>
                </c:pt>
                <c:pt idx="40">
                  <c:v>3.5532994923857873E-4</c:v>
                </c:pt>
                <c:pt idx="41">
                  <c:v>4.0609137055837562E-4</c:v>
                </c:pt>
                <c:pt idx="42">
                  <c:v>4.5685279187817257E-4</c:v>
                </c:pt>
                <c:pt idx="43">
                  <c:v>5.0761421319796957E-4</c:v>
                </c:pt>
                <c:pt idx="44">
                  <c:v>5.5837563451776651E-4</c:v>
                </c:pt>
                <c:pt idx="45">
                  <c:v>6.0913705583756346E-4</c:v>
                </c:pt>
                <c:pt idx="46">
                  <c:v>6.5989847715736041E-4</c:v>
                </c:pt>
                <c:pt idx="47">
                  <c:v>7.1065989847715746E-4</c:v>
                </c:pt>
                <c:pt idx="48">
                  <c:v>7.614213197969543E-4</c:v>
                </c:pt>
                <c:pt idx="49">
                  <c:v>8.1218274111675124E-4</c:v>
                </c:pt>
                <c:pt idx="50">
                  <c:v>8.629441624365483E-4</c:v>
                </c:pt>
                <c:pt idx="51">
                  <c:v>9.1370558375634514E-4</c:v>
                </c:pt>
                <c:pt idx="52">
                  <c:v>1.0152284263959391E-3</c:v>
                </c:pt>
                <c:pt idx="53">
                  <c:v>1.1421319796954316E-3</c:v>
                </c:pt>
                <c:pt idx="54">
                  <c:v>1.2690355329949238E-3</c:v>
                </c:pt>
                <c:pt idx="55">
                  <c:v>1.3959390862944164E-3</c:v>
                </c:pt>
                <c:pt idx="56">
                  <c:v>1.5228426395939086E-3</c:v>
                </c:pt>
                <c:pt idx="57">
                  <c:v>1.649746192893401E-3</c:v>
                </c:pt>
                <c:pt idx="58">
                  <c:v>1.7766497461928932E-3</c:v>
                </c:pt>
                <c:pt idx="59">
                  <c:v>1.9035532994923859E-3</c:v>
                </c:pt>
                <c:pt idx="60">
                  <c:v>2.0304568527918783E-3</c:v>
                </c:pt>
                <c:pt idx="61">
                  <c:v>2.2842639593908631E-3</c:v>
                </c:pt>
                <c:pt idx="62">
                  <c:v>2.5380710659898475E-3</c:v>
                </c:pt>
                <c:pt idx="63">
                  <c:v>2.7918781725888328E-3</c:v>
                </c:pt>
                <c:pt idx="64">
                  <c:v>3.0456852791878172E-3</c:v>
                </c:pt>
                <c:pt idx="65">
                  <c:v>3.299492385786802E-3</c:v>
                </c:pt>
                <c:pt idx="66">
                  <c:v>3.5532994923857864E-3</c:v>
                </c:pt>
                <c:pt idx="67">
                  <c:v>4.0609137055837565E-3</c:v>
                </c:pt>
                <c:pt idx="68">
                  <c:v>4.5685279187817262E-3</c:v>
                </c:pt>
                <c:pt idx="69">
                  <c:v>5.076142131979695E-3</c:v>
                </c:pt>
                <c:pt idx="70">
                  <c:v>5.5837563451776656E-3</c:v>
                </c:pt>
                <c:pt idx="71">
                  <c:v>6.0913705583756344E-3</c:v>
                </c:pt>
                <c:pt idx="72">
                  <c:v>6.5989847715736041E-3</c:v>
                </c:pt>
                <c:pt idx="73">
                  <c:v>7.1065989847715729E-3</c:v>
                </c:pt>
                <c:pt idx="74">
                  <c:v>7.6142131979695434E-3</c:v>
                </c:pt>
                <c:pt idx="75">
                  <c:v>8.1218274111675131E-3</c:v>
                </c:pt>
                <c:pt idx="76">
                  <c:v>8.6294416243654828E-3</c:v>
                </c:pt>
                <c:pt idx="77">
                  <c:v>9.1370558375634525E-3</c:v>
                </c:pt>
                <c:pt idx="78">
                  <c:v>1.015228426395939E-2</c:v>
                </c:pt>
                <c:pt idx="79">
                  <c:v>1.1421319796954314E-2</c:v>
                </c:pt>
                <c:pt idx="80">
                  <c:v>1.2690355329949238E-2</c:v>
                </c:pt>
                <c:pt idx="81">
                  <c:v>1.3959390862944163E-2</c:v>
                </c:pt>
                <c:pt idx="82">
                  <c:v>1.5228426395939087E-2</c:v>
                </c:pt>
                <c:pt idx="83">
                  <c:v>1.6497461928934011E-2</c:v>
                </c:pt>
                <c:pt idx="84">
                  <c:v>1.7766497461928935E-2</c:v>
                </c:pt>
                <c:pt idx="85">
                  <c:v>1.9035532994923859E-2</c:v>
                </c:pt>
                <c:pt idx="86">
                  <c:v>2.030456852791878E-2</c:v>
                </c:pt>
                <c:pt idx="87">
                  <c:v>2.2842639593908629E-2</c:v>
                </c:pt>
                <c:pt idx="88">
                  <c:v>2.5380710659898477E-2</c:v>
                </c:pt>
                <c:pt idx="89">
                  <c:v>2.7918781725888325E-2</c:v>
                </c:pt>
                <c:pt idx="90">
                  <c:v>3.0456852791878174E-2</c:v>
                </c:pt>
                <c:pt idx="91">
                  <c:v>3.2994923857868022E-2</c:v>
                </c:pt>
                <c:pt idx="92">
                  <c:v>3.553299492385787E-2</c:v>
                </c:pt>
                <c:pt idx="93">
                  <c:v>4.060913705583756E-2</c:v>
                </c:pt>
                <c:pt idx="94">
                  <c:v>4.5685279187817257E-2</c:v>
                </c:pt>
                <c:pt idx="95">
                  <c:v>5.0761421319796954E-2</c:v>
                </c:pt>
                <c:pt idx="96">
                  <c:v>5.5837563451776651E-2</c:v>
                </c:pt>
                <c:pt idx="97">
                  <c:v>6.0913705583756347E-2</c:v>
                </c:pt>
                <c:pt idx="98">
                  <c:v>6.5989847715736044E-2</c:v>
                </c:pt>
                <c:pt idx="99">
                  <c:v>7.1065989847715741E-2</c:v>
                </c:pt>
                <c:pt idx="100">
                  <c:v>7.6142131979695438E-2</c:v>
                </c:pt>
                <c:pt idx="101">
                  <c:v>8.1218274111675121E-2</c:v>
                </c:pt>
                <c:pt idx="102">
                  <c:v>8.6294416243654817E-2</c:v>
                </c:pt>
                <c:pt idx="103">
                  <c:v>9.1370558375634514E-2</c:v>
                </c:pt>
                <c:pt idx="104">
                  <c:v>0.10152284263959391</c:v>
                </c:pt>
                <c:pt idx="105">
                  <c:v>0.11421319796954314</c:v>
                </c:pt>
                <c:pt idx="106">
                  <c:v>0.12690355329949238</c:v>
                </c:pt>
                <c:pt idx="107">
                  <c:v>0.13959390862944163</c:v>
                </c:pt>
                <c:pt idx="108">
                  <c:v>0.15228426395939088</c:v>
                </c:pt>
                <c:pt idx="109">
                  <c:v>0.1649746192893401</c:v>
                </c:pt>
                <c:pt idx="110">
                  <c:v>0.17766497461928935</c:v>
                </c:pt>
                <c:pt idx="111">
                  <c:v>0.19035532994923857</c:v>
                </c:pt>
                <c:pt idx="112">
                  <c:v>0.20304568527918782</c:v>
                </c:pt>
                <c:pt idx="113">
                  <c:v>0.22842639593908629</c:v>
                </c:pt>
                <c:pt idx="114">
                  <c:v>0.25380710659898476</c:v>
                </c:pt>
                <c:pt idx="115">
                  <c:v>0.27918781725888325</c:v>
                </c:pt>
                <c:pt idx="116">
                  <c:v>0.30456852791878175</c:v>
                </c:pt>
                <c:pt idx="117">
                  <c:v>0.32994923857868019</c:v>
                </c:pt>
                <c:pt idx="118">
                  <c:v>0.35532994923857869</c:v>
                </c:pt>
                <c:pt idx="119">
                  <c:v>0.40609137055837563</c:v>
                </c:pt>
                <c:pt idx="120">
                  <c:v>0.45685279187817257</c:v>
                </c:pt>
                <c:pt idx="121">
                  <c:v>0.50761421319796951</c:v>
                </c:pt>
                <c:pt idx="122">
                  <c:v>0.55837563451776651</c:v>
                </c:pt>
                <c:pt idx="123">
                  <c:v>0.6091370558375635</c:v>
                </c:pt>
                <c:pt idx="124">
                  <c:v>0.65989847715736039</c:v>
                </c:pt>
                <c:pt idx="125">
                  <c:v>0.71065989847715738</c:v>
                </c:pt>
                <c:pt idx="126">
                  <c:v>0.76142131979695427</c:v>
                </c:pt>
                <c:pt idx="127">
                  <c:v>0.81218274111675126</c:v>
                </c:pt>
                <c:pt idx="128">
                  <c:v>0.86294416243654826</c:v>
                </c:pt>
                <c:pt idx="129">
                  <c:v>0.91370558375634514</c:v>
                </c:pt>
                <c:pt idx="130" formatCode="0.000_ ">
                  <c:v>1.015228426395939</c:v>
                </c:pt>
                <c:pt idx="131" formatCode="0.000_ ">
                  <c:v>1.1421319796954315</c:v>
                </c:pt>
                <c:pt idx="132" formatCode="0.000_ ">
                  <c:v>1.2690355329949239</c:v>
                </c:pt>
                <c:pt idx="133" formatCode="0.000_ ">
                  <c:v>1.3959390862944163</c:v>
                </c:pt>
                <c:pt idx="134" formatCode="0.000_ ">
                  <c:v>1.5228426395939085</c:v>
                </c:pt>
                <c:pt idx="135" formatCode="0.000_ ">
                  <c:v>1.649746192893401</c:v>
                </c:pt>
                <c:pt idx="136" formatCode="0.000_ ">
                  <c:v>1.7766497461928934</c:v>
                </c:pt>
                <c:pt idx="137" formatCode="0.000_ ">
                  <c:v>1.9035532994923858</c:v>
                </c:pt>
                <c:pt idx="138" formatCode="0.000_ ">
                  <c:v>2.030456852791878</c:v>
                </c:pt>
                <c:pt idx="139" formatCode="0.000_ ">
                  <c:v>2.2842639593908629</c:v>
                </c:pt>
                <c:pt idx="140" formatCode="0.000_ ">
                  <c:v>2.5380710659898478</c:v>
                </c:pt>
                <c:pt idx="141" formatCode="0.000_ ">
                  <c:v>2.7918781725888326</c:v>
                </c:pt>
                <c:pt idx="142" formatCode="0.000_ ">
                  <c:v>3.0456852791878171</c:v>
                </c:pt>
                <c:pt idx="143" formatCode="0.000_ ">
                  <c:v>3.2994923857868019</c:v>
                </c:pt>
                <c:pt idx="144" formatCode="0.000_ ">
                  <c:v>3.5532994923857868</c:v>
                </c:pt>
                <c:pt idx="145" formatCode="0.000_ ">
                  <c:v>4.0609137055837561</c:v>
                </c:pt>
                <c:pt idx="146" formatCode="0.000_ ">
                  <c:v>4.5685279187817258</c:v>
                </c:pt>
                <c:pt idx="147" formatCode="0.000_ ">
                  <c:v>5.0761421319796955</c:v>
                </c:pt>
                <c:pt idx="148" formatCode="0.000_ ">
                  <c:v>5.5837563451776653</c:v>
                </c:pt>
                <c:pt idx="149" formatCode="0.000_ ">
                  <c:v>6.0913705583756341</c:v>
                </c:pt>
                <c:pt idx="150" formatCode="0.000_ ">
                  <c:v>6.5989847715736039</c:v>
                </c:pt>
                <c:pt idx="151" formatCode="0.000_ ">
                  <c:v>7.1065989847715736</c:v>
                </c:pt>
                <c:pt idx="152" formatCode="0.000_ ">
                  <c:v>7.6142131979695433</c:v>
                </c:pt>
                <c:pt idx="153" formatCode="0.000_ ">
                  <c:v>8.1218274111675122</c:v>
                </c:pt>
                <c:pt idx="154" formatCode="0.000_ ">
                  <c:v>8.6294416243654819</c:v>
                </c:pt>
                <c:pt idx="155" formatCode="0.000_ ">
                  <c:v>9.1370558375634516</c:v>
                </c:pt>
                <c:pt idx="156" formatCode="0.000_ ">
                  <c:v>10.152284263959391</c:v>
                </c:pt>
                <c:pt idx="157" formatCode="0.000_ ">
                  <c:v>11.421319796954315</c:v>
                </c:pt>
                <c:pt idx="158" formatCode="0.000_ ">
                  <c:v>12.690355329949238</c:v>
                </c:pt>
                <c:pt idx="159" formatCode="0.000_ ">
                  <c:v>13.959390862944163</c:v>
                </c:pt>
                <c:pt idx="160" formatCode="0.000_ ">
                  <c:v>15.228426395939087</c:v>
                </c:pt>
                <c:pt idx="161" formatCode="0.000_ ">
                  <c:v>16.497461928934012</c:v>
                </c:pt>
                <c:pt idx="162" formatCode="0.000_ ">
                  <c:v>17.766497461928935</c:v>
                </c:pt>
                <c:pt idx="163" formatCode="0.000_ ">
                  <c:v>19.035532994923859</c:v>
                </c:pt>
                <c:pt idx="164" formatCode="0.000_ ">
                  <c:v>20.304568527918782</c:v>
                </c:pt>
                <c:pt idx="165" formatCode="0.000_ ">
                  <c:v>22.842639593908629</c:v>
                </c:pt>
                <c:pt idx="166" formatCode="0.000_ ">
                  <c:v>25.380710659898476</c:v>
                </c:pt>
                <c:pt idx="167" formatCode="0.000_ ">
                  <c:v>27.918781725888326</c:v>
                </c:pt>
                <c:pt idx="168" formatCode="0.000_ ">
                  <c:v>30.456852791878173</c:v>
                </c:pt>
                <c:pt idx="169" formatCode="0.000_ ">
                  <c:v>32.994923857868024</c:v>
                </c:pt>
                <c:pt idx="170" formatCode="0.000_ ">
                  <c:v>35.532994923857871</c:v>
                </c:pt>
                <c:pt idx="171" formatCode="0.000_ ">
                  <c:v>40.609137055837564</c:v>
                </c:pt>
                <c:pt idx="172" formatCode="0.000_ ">
                  <c:v>45.685279187817258</c:v>
                </c:pt>
                <c:pt idx="173" formatCode="0.000_ ">
                  <c:v>50.761421319796952</c:v>
                </c:pt>
                <c:pt idx="174" formatCode="0.000_ ">
                  <c:v>55.837563451776653</c:v>
                </c:pt>
                <c:pt idx="175" formatCode="0.000_ ">
                  <c:v>60.913705583756347</c:v>
                </c:pt>
                <c:pt idx="176" formatCode="0.000_ ">
                  <c:v>65.989847715736047</c:v>
                </c:pt>
                <c:pt idx="177" formatCode="0.000_ ">
                  <c:v>71.065989847715741</c:v>
                </c:pt>
                <c:pt idx="178" formatCode="0.000_ ">
                  <c:v>76.142131979695435</c:v>
                </c:pt>
                <c:pt idx="179" formatCode="0.000_ ">
                  <c:v>81.218274111675129</c:v>
                </c:pt>
                <c:pt idx="180" formatCode="0.000_ ">
                  <c:v>86.294416243654823</c:v>
                </c:pt>
                <c:pt idx="181" formatCode="0.000_ ">
                  <c:v>91.370558375634516</c:v>
                </c:pt>
                <c:pt idx="182" formatCode="0.00_ ">
                  <c:v>101.5228426395939</c:v>
                </c:pt>
                <c:pt idx="183" formatCode="0.00_ ">
                  <c:v>114.21319796954315</c:v>
                </c:pt>
                <c:pt idx="184" formatCode="0.00_ ">
                  <c:v>126.90355329949239</c:v>
                </c:pt>
                <c:pt idx="185" formatCode="0.00_ ">
                  <c:v>139.59390862944161</c:v>
                </c:pt>
                <c:pt idx="186" formatCode="0.00_ ">
                  <c:v>152.28426395939087</c:v>
                </c:pt>
                <c:pt idx="187" formatCode="0.00_ ">
                  <c:v>164.9746192893401</c:v>
                </c:pt>
                <c:pt idx="188" formatCode="0.00_ ">
                  <c:v>177.66497461928935</c:v>
                </c:pt>
                <c:pt idx="189" formatCode="0.00_ ">
                  <c:v>190.35532994923858</c:v>
                </c:pt>
                <c:pt idx="190" formatCode="0.00_ ">
                  <c:v>203.04568527918781</c:v>
                </c:pt>
                <c:pt idx="191" formatCode="0.00_ ">
                  <c:v>228.42639593908629</c:v>
                </c:pt>
                <c:pt idx="192" formatCode="0.00_ ">
                  <c:v>253.80710659898477</c:v>
                </c:pt>
                <c:pt idx="193" formatCode="0.00_ ">
                  <c:v>279.18781725888323</c:v>
                </c:pt>
                <c:pt idx="194" formatCode="0.00_ ">
                  <c:v>304.56852791878174</c:v>
                </c:pt>
                <c:pt idx="195" formatCode="0.00_ ">
                  <c:v>329.94923857868019</c:v>
                </c:pt>
                <c:pt idx="196" formatCode="0.00_ ">
                  <c:v>355.32994923857871</c:v>
                </c:pt>
                <c:pt idx="197" formatCode="0.00_ ">
                  <c:v>406.09137055837562</c:v>
                </c:pt>
                <c:pt idx="198" formatCode="0.00_ ">
                  <c:v>456.85279187817258</c:v>
                </c:pt>
                <c:pt idx="199" formatCode="0.00_ ">
                  <c:v>507.61421319796955</c:v>
                </c:pt>
                <c:pt idx="200" formatCode="0.00_ ">
                  <c:v>558.37563451776646</c:v>
                </c:pt>
                <c:pt idx="201" formatCode="0.00_ ">
                  <c:v>609.13705583756348</c:v>
                </c:pt>
                <c:pt idx="202" formatCode="0.00_ ">
                  <c:v>659.89847715736039</c:v>
                </c:pt>
                <c:pt idx="203" formatCode="0.00_ ">
                  <c:v>710.65989847715741</c:v>
                </c:pt>
                <c:pt idx="204" formatCode="0.00_ ">
                  <c:v>761.42131979695432</c:v>
                </c:pt>
                <c:pt idx="205" formatCode="0.00_ ">
                  <c:v>812.18274111675123</c:v>
                </c:pt>
                <c:pt idx="206" formatCode="0.00_ ">
                  <c:v>862.94416243654825</c:v>
                </c:pt>
                <c:pt idx="207" formatCode="0.00_ ">
                  <c:v>913.70558375634516</c:v>
                </c:pt>
                <c:pt idx="208" formatCode="0.00_ ">
                  <c:v>1000</c:v>
                </c:pt>
              </c:numCache>
            </c:numRef>
          </c:xVal>
          <c:yVal>
            <c:numRef>
              <c:f>'dbg12'!$O$11:$O$219</c:f>
              <c:numCache>
                <c:formatCode>0.000E+00</c:formatCode>
                <c:ptCount val="209"/>
                <c:pt idx="0">
                  <c:v>0.84248000000000001</c:v>
                </c:pt>
                <c:pt idx="1">
                  <c:v>0.89715999999999996</c:v>
                </c:pt>
                <c:pt idx="2">
                  <c:v>0.9486</c:v>
                </c:pt>
                <c:pt idx="3">
                  <c:v>0.99713000000000007</c:v>
                </c:pt>
                <c:pt idx="4">
                  <c:v>1.0432600000000001</c:v>
                </c:pt>
                <c:pt idx="5">
                  <c:v>1.08711</c:v>
                </c:pt>
                <c:pt idx="6">
                  <c:v>1.12907</c:v>
                </c:pt>
                <c:pt idx="7">
                  <c:v>1.1689700000000001</c:v>
                </c:pt>
                <c:pt idx="8">
                  <c:v>1.2078099999999998</c:v>
                </c:pt>
                <c:pt idx="9">
                  <c:v>1.2813099999999999</c:v>
                </c:pt>
                <c:pt idx="10">
                  <c:v>1.3496299999999999</c:v>
                </c:pt>
                <c:pt idx="11">
                  <c:v>1.4137900000000001</c:v>
                </c:pt>
                <c:pt idx="12">
                  <c:v>1.4747999999999999</c:v>
                </c:pt>
                <c:pt idx="13">
                  <c:v>1.53169</c:v>
                </c:pt>
                <c:pt idx="14">
                  <c:v>1.58647</c:v>
                </c:pt>
                <c:pt idx="15">
                  <c:v>1.68875</c:v>
                </c:pt>
                <c:pt idx="16">
                  <c:v>1.78271</c:v>
                </c:pt>
                <c:pt idx="17">
                  <c:v>1.8694</c:v>
                </c:pt>
                <c:pt idx="18">
                  <c:v>1.9498600000000001</c:v>
                </c:pt>
                <c:pt idx="19">
                  <c:v>2.0261</c:v>
                </c:pt>
                <c:pt idx="20">
                  <c:v>2.0981999999999998</c:v>
                </c:pt>
                <c:pt idx="21">
                  <c:v>2.1650999999999998</c:v>
                </c:pt>
                <c:pt idx="22">
                  <c:v>2.2298999999999998</c:v>
                </c:pt>
                <c:pt idx="23">
                  <c:v>2.2906</c:v>
                </c:pt>
                <c:pt idx="24">
                  <c:v>2.3492000000000002</c:v>
                </c:pt>
                <c:pt idx="25">
                  <c:v>2.4045999999999998</c:v>
                </c:pt>
                <c:pt idx="26">
                  <c:v>2.5093000000000001</c:v>
                </c:pt>
                <c:pt idx="27">
                  <c:v>2.6291000000000002</c:v>
                </c:pt>
                <c:pt idx="28">
                  <c:v>2.7384999999999997</c:v>
                </c:pt>
                <c:pt idx="29">
                  <c:v>2.8396000000000003</c:v>
                </c:pt>
                <c:pt idx="30">
                  <c:v>2.9333</c:v>
                </c:pt>
                <c:pt idx="31">
                  <c:v>3.0198</c:v>
                </c:pt>
                <c:pt idx="32">
                  <c:v>3.1019999999999999</c:v>
                </c:pt>
                <c:pt idx="33">
                  <c:v>3.1789999999999998</c:v>
                </c:pt>
                <c:pt idx="34">
                  <c:v>3.2507999999999999</c:v>
                </c:pt>
                <c:pt idx="35">
                  <c:v>3.3839000000000001</c:v>
                </c:pt>
                <c:pt idx="36">
                  <c:v>3.5044</c:v>
                </c:pt>
                <c:pt idx="37">
                  <c:v>3.6143999999999998</c:v>
                </c:pt>
                <c:pt idx="38">
                  <c:v>3.7149000000000001</c:v>
                </c:pt>
                <c:pt idx="39">
                  <c:v>3.8080000000000003</c:v>
                </c:pt>
                <c:pt idx="40">
                  <c:v>3.8938000000000001</c:v>
                </c:pt>
                <c:pt idx="41">
                  <c:v>4.0495000000000001</c:v>
                </c:pt>
                <c:pt idx="42">
                  <c:v>4.1861999999999995</c:v>
                </c:pt>
                <c:pt idx="43">
                  <c:v>4.3069999999999995</c:v>
                </c:pt>
                <c:pt idx="44">
                  <c:v>4.4162000000000008</c:v>
                </c:pt>
                <c:pt idx="45">
                  <c:v>4.5146000000000006</c:v>
                </c:pt>
                <c:pt idx="46">
                  <c:v>4.6046000000000005</c:v>
                </c:pt>
                <c:pt idx="47">
                  <c:v>4.6859999999999999</c:v>
                </c:pt>
                <c:pt idx="48">
                  <c:v>4.7620000000000005</c:v>
                </c:pt>
                <c:pt idx="49">
                  <c:v>4.8315999999999999</c:v>
                </c:pt>
                <c:pt idx="50">
                  <c:v>4.8959000000000001</c:v>
                </c:pt>
                <c:pt idx="51">
                  <c:v>4.9558</c:v>
                </c:pt>
                <c:pt idx="52">
                  <c:v>5.0648</c:v>
                </c:pt>
                <c:pt idx="53">
                  <c:v>5.1816000000000004</c:v>
                </c:pt>
                <c:pt idx="54">
                  <c:v>5.282</c:v>
                </c:pt>
                <c:pt idx="55">
                  <c:v>5.3683000000000005</c:v>
                </c:pt>
                <c:pt idx="56">
                  <c:v>5.4447000000000001</c:v>
                </c:pt>
                <c:pt idx="57">
                  <c:v>5.5120999999999993</c:v>
                </c:pt>
                <c:pt idx="58">
                  <c:v>5.5717999999999996</c:v>
                </c:pt>
                <c:pt idx="59">
                  <c:v>5.6248000000000005</c:v>
                </c:pt>
                <c:pt idx="60">
                  <c:v>5.6754999999999995</c:v>
                </c:pt>
                <c:pt idx="61">
                  <c:v>5.7888999999999999</c:v>
                </c:pt>
                <c:pt idx="62">
                  <c:v>5.8810000000000002</c:v>
                </c:pt>
                <c:pt idx="63">
                  <c:v>5.9540999999999995</c:v>
                </c:pt>
                <c:pt idx="64">
                  <c:v>6.0118999999999998</c:v>
                </c:pt>
                <c:pt idx="65">
                  <c:v>6.0574000000000003</c:v>
                </c:pt>
                <c:pt idx="66">
                  <c:v>6.0915999999999997</c:v>
                </c:pt>
                <c:pt idx="67">
                  <c:v>6.1361999999999997</c:v>
                </c:pt>
                <c:pt idx="68">
                  <c:v>6.1569000000000003</c:v>
                </c:pt>
                <c:pt idx="69">
                  <c:v>6.1639999999999997</c:v>
                </c:pt>
                <c:pt idx="70">
                  <c:v>6.16</c:v>
                </c:pt>
                <c:pt idx="71">
                  <c:v>6.1509999999999998</c:v>
                </c:pt>
                <c:pt idx="72">
                  <c:v>6.1359999999999992</c:v>
                </c:pt>
                <c:pt idx="73">
                  <c:v>6.1189999999999998</c:v>
                </c:pt>
                <c:pt idx="74">
                  <c:v>6.1</c:v>
                </c:pt>
                <c:pt idx="75">
                  <c:v>6.0810000000000004</c:v>
                </c:pt>
                <c:pt idx="76">
                  <c:v>6.0600000000000005</c:v>
                </c:pt>
                <c:pt idx="77">
                  <c:v>6.0389999999999997</c:v>
                </c:pt>
                <c:pt idx="78">
                  <c:v>5.9989999999999997</c:v>
                </c:pt>
                <c:pt idx="79">
                  <c:v>5.9470000000000001</c:v>
                </c:pt>
                <c:pt idx="80">
                  <c:v>5.899</c:v>
                </c:pt>
                <c:pt idx="81">
                  <c:v>5.8530000000000006</c:v>
                </c:pt>
                <c:pt idx="82">
                  <c:v>5.8079999999999998</c:v>
                </c:pt>
                <c:pt idx="83">
                  <c:v>5.766</c:v>
                </c:pt>
                <c:pt idx="84">
                  <c:v>5.7249999999999996</c:v>
                </c:pt>
                <c:pt idx="85">
                  <c:v>5.6859999999999999</c:v>
                </c:pt>
                <c:pt idx="86">
                  <c:v>5.6479999999999997</c:v>
                </c:pt>
                <c:pt idx="87">
                  <c:v>5.5760000000000005</c:v>
                </c:pt>
                <c:pt idx="88">
                  <c:v>5.508</c:v>
                </c:pt>
                <c:pt idx="89">
                  <c:v>5.4420000000000002</c:v>
                </c:pt>
                <c:pt idx="90">
                  <c:v>5.3800000000000008</c:v>
                </c:pt>
                <c:pt idx="91">
                  <c:v>5.3230000000000004</c:v>
                </c:pt>
                <c:pt idx="92">
                  <c:v>5.2679999999999998</c:v>
                </c:pt>
                <c:pt idx="93">
                  <c:v>5.1710000000000003</c:v>
                </c:pt>
                <c:pt idx="94">
                  <c:v>5.0890000000000004</c:v>
                </c:pt>
                <c:pt idx="95">
                  <c:v>5.0250000000000004</c:v>
                </c:pt>
                <c:pt idx="96">
                  <c:v>4.9770000000000003</c:v>
                </c:pt>
                <c:pt idx="97">
                  <c:v>4.9459999999999997</c:v>
                </c:pt>
                <c:pt idx="98">
                  <c:v>4.931</c:v>
                </c:pt>
                <c:pt idx="99">
                  <c:v>4.931</c:v>
                </c:pt>
                <c:pt idx="100">
                  <c:v>4.9480000000000004</c:v>
                </c:pt>
                <c:pt idx="101">
                  <c:v>4.9779999999999998</c:v>
                </c:pt>
                <c:pt idx="102">
                  <c:v>5.0220000000000002</c:v>
                </c:pt>
                <c:pt idx="103">
                  <c:v>5.0780000000000003</c:v>
                </c:pt>
                <c:pt idx="104">
                  <c:v>5.2240000000000002</c:v>
                </c:pt>
                <c:pt idx="105">
                  <c:v>5.4630000000000001</c:v>
                </c:pt>
                <c:pt idx="106">
                  <c:v>5.7519999999999998</c:v>
                </c:pt>
                <c:pt idx="107">
                  <c:v>6.0820000000000007</c:v>
                </c:pt>
                <c:pt idx="108">
                  <c:v>6.4439999999999991</c:v>
                </c:pt>
                <c:pt idx="109">
                  <c:v>6.8289999999999997</c:v>
                </c:pt>
                <c:pt idx="110">
                  <c:v>7.234</c:v>
                </c:pt>
                <c:pt idx="111">
                  <c:v>7.6509999999999998</c:v>
                </c:pt>
                <c:pt idx="112">
                  <c:v>8.0790000000000006</c:v>
                </c:pt>
                <c:pt idx="113">
                  <c:v>8.9529999999999994</c:v>
                </c:pt>
                <c:pt idx="114">
                  <c:v>9.8329999999999984</c:v>
                </c:pt>
                <c:pt idx="115">
                  <c:v>10.7102</c:v>
                </c:pt>
                <c:pt idx="116">
                  <c:v>11.575999999999999</c:v>
                </c:pt>
                <c:pt idx="117">
                  <c:v>12.4277</c:v>
                </c:pt>
                <c:pt idx="118">
                  <c:v>13.255000000000001</c:v>
                </c:pt>
                <c:pt idx="119">
                  <c:v>14.8529</c:v>
                </c:pt>
                <c:pt idx="120">
                  <c:v>16.344100000000001</c:v>
                </c:pt>
                <c:pt idx="121">
                  <c:v>17.745200000000001</c:v>
                </c:pt>
                <c:pt idx="122">
                  <c:v>19.043800000000001</c:v>
                </c:pt>
                <c:pt idx="123">
                  <c:v>20.238199999999999</c:v>
                </c:pt>
                <c:pt idx="124">
                  <c:v>21.357299999999999</c:v>
                </c:pt>
                <c:pt idx="125">
                  <c:v>22.3901</c:v>
                </c:pt>
                <c:pt idx="126">
                  <c:v>23.356000000000002</c:v>
                </c:pt>
                <c:pt idx="127">
                  <c:v>24.244499999999999</c:v>
                </c:pt>
                <c:pt idx="128">
                  <c:v>25.075100000000003</c:v>
                </c:pt>
                <c:pt idx="129">
                  <c:v>25.8476</c:v>
                </c:pt>
                <c:pt idx="130">
                  <c:v>27.247199999999999</c:v>
                </c:pt>
                <c:pt idx="131">
                  <c:v>28.7758</c:v>
                </c:pt>
                <c:pt idx="132">
                  <c:v>30.0898</c:v>
                </c:pt>
                <c:pt idx="133">
                  <c:v>31.238099999999999</c:v>
                </c:pt>
                <c:pt idx="134">
                  <c:v>32.2395</c:v>
                </c:pt>
                <c:pt idx="135">
                  <c:v>33.133400000000002</c:v>
                </c:pt>
                <c:pt idx="136">
                  <c:v>33.929400000000001</c:v>
                </c:pt>
                <c:pt idx="137">
                  <c:v>34.646999999999998</c:v>
                </c:pt>
                <c:pt idx="138">
                  <c:v>35.336000000000006</c:v>
                </c:pt>
                <c:pt idx="139">
                  <c:v>36.607199999999999</c:v>
                </c:pt>
                <c:pt idx="140">
                  <c:v>37.501799999999996</c:v>
                </c:pt>
                <c:pt idx="141">
                  <c:v>38.278999999999996</c:v>
                </c:pt>
                <c:pt idx="142">
                  <c:v>38.938000000000002</c:v>
                </c:pt>
                <c:pt idx="143">
                  <c:v>39.498599999999996</c:v>
                </c:pt>
                <c:pt idx="144">
                  <c:v>39.9803</c:v>
                </c:pt>
                <c:pt idx="145">
                  <c:v>40.776699999999998</c:v>
                </c:pt>
                <c:pt idx="146">
                  <c:v>41.405799999999999</c:v>
                </c:pt>
                <c:pt idx="147">
                  <c:v>41.906880000000001</c:v>
                </c:pt>
                <c:pt idx="148">
                  <c:v>42.31944</c:v>
                </c:pt>
                <c:pt idx="149">
                  <c:v>42.643129999999999</c:v>
                </c:pt>
                <c:pt idx="150">
                  <c:v>42.917710000000007</c:v>
                </c:pt>
                <c:pt idx="151">
                  <c:v>43.122989999999994</c:v>
                </c:pt>
                <c:pt idx="152">
                  <c:v>43.288849999999996</c:v>
                </c:pt>
                <c:pt idx="153">
                  <c:v>43.405180000000001</c:v>
                </c:pt>
                <c:pt idx="154">
                  <c:v>43.481909999999999</c:v>
                </c:pt>
                <c:pt idx="155">
                  <c:v>43.528970000000001</c:v>
                </c:pt>
                <c:pt idx="156">
                  <c:v>43.523910000000001</c:v>
                </c:pt>
                <c:pt idx="157">
                  <c:v>43.358740000000004</c:v>
                </c:pt>
                <c:pt idx="158">
                  <c:v>43.064530000000005</c:v>
                </c:pt>
                <c:pt idx="159">
                  <c:v>42.651029999999999</c:v>
                </c:pt>
                <c:pt idx="160">
                  <c:v>42.158059999999999</c:v>
                </c:pt>
                <c:pt idx="161">
                  <c:v>41.585519999999995</c:v>
                </c:pt>
                <c:pt idx="162">
                  <c:v>40.973320000000001</c:v>
                </c:pt>
                <c:pt idx="163">
                  <c:v>40.331389999999999</c:v>
                </c:pt>
                <c:pt idx="164">
                  <c:v>39.659680000000002</c:v>
                </c:pt>
                <c:pt idx="165">
                  <c:v>38.296790000000001</c:v>
                </c:pt>
                <c:pt idx="166">
                  <c:v>36.954439999999998</c:v>
                </c:pt>
                <c:pt idx="167">
                  <c:v>35.672489999999996</c:v>
                </c:pt>
                <c:pt idx="168">
                  <c:v>34.510850000000005</c:v>
                </c:pt>
                <c:pt idx="169">
                  <c:v>33.549440000000004</c:v>
                </c:pt>
                <c:pt idx="170">
                  <c:v>32.628210000000003</c:v>
                </c:pt>
                <c:pt idx="171">
                  <c:v>30.936200000000003</c:v>
                </c:pt>
                <c:pt idx="172">
                  <c:v>29.4146</c:v>
                </c:pt>
                <c:pt idx="173">
                  <c:v>28.043310000000002</c:v>
                </c:pt>
                <c:pt idx="174">
                  <c:v>26.81223</c:v>
                </c:pt>
                <c:pt idx="175">
                  <c:v>25.701330000000002</c:v>
                </c:pt>
                <c:pt idx="176">
                  <c:v>24.70055</c:v>
                </c:pt>
                <c:pt idx="177">
                  <c:v>23.779882999999998</c:v>
                </c:pt>
                <c:pt idx="178">
                  <c:v>22.949296</c:v>
                </c:pt>
                <c:pt idx="179">
                  <c:v>22.178778000000001</c:v>
                </c:pt>
                <c:pt idx="180">
                  <c:v>21.478317000000001</c:v>
                </c:pt>
                <c:pt idx="181">
                  <c:v>20.827905000000001</c:v>
                </c:pt>
                <c:pt idx="182">
                  <c:v>19.677197000000003</c:v>
                </c:pt>
                <c:pt idx="183">
                  <c:v>18.446479</c:v>
                </c:pt>
                <c:pt idx="184">
                  <c:v>17.405897</c:v>
                </c:pt>
                <c:pt idx="185">
                  <c:v>16.525414999999999</c:v>
                </c:pt>
                <c:pt idx="186">
                  <c:v>15.755008999999999</c:v>
                </c:pt>
                <c:pt idx="187">
                  <c:v>15.084662</c:v>
                </c:pt>
                <c:pt idx="188">
                  <c:v>14.494362000000001</c:v>
                </c:pt>
                <c:pt idx="189">
                  <c:v>13.9641</c:v>
                </c:pt>
                <c:pt idx="190">
                  <c:v>13.503869</c:v>
                </c:pt>
                <c:pt idx="191">
                  <c:v>12.703479999999999</c:v>
                </c:pt>
                <c:pt idx="192">
                  <c:v>12.043164999999998</c:v>
                </c:pt>
                <c:pt idx="193">
                  <c:v>11.492903999999999</c:v>
                </c:pt>
                <c:pt idx="194">
                  <c:v>11.032684999999999</c:v>
                </c:pt>
                <c:pt idx="195">
                  <c:v>10.632497000000001</c:v>
                </c:pt>
                <c:pt idx="196">
                  <c:v>10.292335999999999</c:v>
                </c:pt>
                <c:pt idx="197">
                  <c:v>9.7220700000000004</c:v>
                </c:pt>
                <c:pt idx="198">
                  <c:v>9.2778600000000004</c:v>
                </c:pt>
                <c:pt idx="199">
                  <c:v>8.9236900000000006</c:v>
                </c:pt>
                <c:pt idx="200">
                  <c:v>8.6375499999999992</c:v>
                </c:pt>
                <c:pt idx="201">
                  <c:v>8.4014319999999998</c:v>
                </c:pt>
                <c:pt idx="202">
                  <c:v>8.2053320000000003</c:v>
                </c:pt>
                <c:pt idx="203">
                  <c:v>8.041245</c:v>
                </c:pt>
                <c:pt idx="204">
                  <c:v>7.9021689999999998</c:v>
                </c:pt>
                <c:pt idx="205">
                  <c:v>7.7841020000000007</c:v>
                </c:pt>
                <c:pt idx="206">
                  <c:v>7.6820430000000002</c:v>
                </c:pt>
                <c:pt idx="207">
                  <c:v>7.5949900000000001</c:v>
                </c:pt>
                <c:pt idx="208">
                  <c:v>7.4759116999999993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FA0-4DA7-AA87-2285BFD36D78}"/>
            </c:ext>
          </c:extLst>
        </c:ser>
        <c:ser>
          <c:idx val="6"/>
          <c:order val="3"/>
          <c:tx>
            <c:v>LETG</c:v>
          </c:tx>
          <c:spPr>
            <a:ln w="6350">
              <a:solidFill>
                <a:srgbClr val="FF00FF"/>
              </a:solidFill>
            </a:ln>
          </c:spPr>
          <c:marker>
            <c:symbol val="square"/>
            <c:size val="5"/>
            <c:spPr>
              <a:noFill/>
              <a:ln>
                <a:solidFill>
                  <a:srgbClr val="FF00FF"/>
                </a:solidFill>
              </a:ln>
            </c:spPr>
          </c:marker>
          <c:xVal>
            <c:numRef>
              <c:f>'dbg12'!$H$12:$H$13</c:f>
              <c:numCache>
                <c:formatCode>0_ </c:formatCode>
                <c:ptCount val="2"/>
                <c:pt idx="0" formatCode="0.00000_ ">
                  <c:v>1.0152284263959391E-5</c:v>
                </c:pt>
                <c:pt idx="1">
                  <c:v>1000</c:v>
                </c:pt>
              </c:numCache>
            </c:numRef>
          </c:xVal>
          <c:yVal>
            <c:numRef>
              <c:f>'dbg12'!$I$12:$I$13</c:f>
              <c:numCache>
                <c:formatCode>0.000_ 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FA0-4DA7-AA87-2285BFD36D78}"/>
            </c:ext>
          </c:extLst>
        </c:ser>
        <c:ser>
          <c:idx val="3"/>
          <c:order val="4"/>
          <c:tx>
            <c:v>LETe2E</c:v>
          </c:tx>
          <c:spPr>
            <a:ln w="12700">
              <a:noFill/>
            </a:ln>
          </c:spPr>
          <c:marker>
            <c:symbol val="diamond"/>
            <c:size val="10"/>
            <c:spPr>
              <a:noFill/>
              <a:ln>
                <a:solidFill>
                  <a:srgbClr val="0000FF"/>
                </a:solidFill>
              </a:ln>
            </c:spPr>
          </c:marker>
          <c:xVal>
            <c:numRef>
              <c:f>'dbg12'!$H$14:$H$15</c:f>
              <c:numCache>
                <c:formatCode>0.00</c:formatCode>
                <c:ptCount val="2"/>
                <c:pt idx="0">
                  <c:v>2.8779144799105223E-2</c:v>
                </c:pt>
                <c:pt idx="1">
                  <c:v>#N/A</c:v>
                </c:pt>
              </c:numCache>
            </c:numRef>
          </c:xVal>
          <c:yVal>
            <c:numRef>
              <c:f>'dbg12'!$I$14:$I$15</c:f>
              <c:numCache>
                <c:formatCode>0.000_ 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FA0-4DA7-AA87-2285BFD36D78}"/>
            </c:ext>
          </c:extLst>
        </c:ser>
        <c:ser>
          <c:idx val="4"/>
          <c:order val="5"/>
          <c:tx>
            <c:v>LETn2E</c:v>
          </c:tx>
          <c:spPr>
            <a:ln w="12700">
              <a:noFill/>
            </a:ln>
          </c:spPr>
          <c:marker>
            <c:symbol val="triangle"/>
            <c:size val="10"/>
            <c:spPr>
              <a:noFill/>
              <a:ln>
                <a:solidFill>
                  <a:srgbClr val="9933FF"/>
                </a:solidFill>
              </a:ln>
            </c:spPr>
          </c:marker>
          <c:xVal>
            <c:numRef>
              <c:f>'dbg12'!$H$16:$H$17</c:f>
              <c:numCache>
                <c:formatCode>0.00</c:formatCode>
                <c:ptCount val="2"/>
                <c:pt idx="0">
                  <c:v>6.6473289823543622E-5</c:v>
                </c:pt>
                <c:pt idx="1">
                  <c:v>8.498912255257432E-2</c:v>
                </c:pt>
              </c:numCache>
            </c:numRef>
          </c:xVal>
          <c:yVal>
            <c:numRef>
              <c:f>'dbg12'!$I$16:$I$17</c:f>
              <c:numCache>
                <c:formatCode>0.000_ 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FA0-4DA7-AA87-2285BFD36D78}"/>
            </c:ext>
          </c:extLst>
        </c:ser>
        <c:ser>
          <c:idx val="7"/>
          <c:order val="6"/>
          <c:tx>
            <c:v>LETt2E</c:v>
          </c:tx>
          <c:spPr>
            <a:ln>
              <a:noFill/>
            </a:ln>
          </c:spPr>
          <c:marker>
            <c:symbol val="circle"/>
            <c:size val="10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'dbg12'!$H$18:$H$19</c:f>
              <c:numCache>
                <c:formatCode>0.00</c:formatCode>
                <c:ptCount val="2"/>
                <c:pt idx="0">
                  <c:v>5.9175939192824147E-5</c:v>
                </c:pt>
                <c:pt idx="1">
                  <c:v>#N/A</c:v>
                </c:pt>
              </c:numCache>
            </c:numRef>
          </c:xVal>
          <c:yVal>
            <c:numRef>
              <c:f>'dbg12'!$I$18:$I$19</c:f>
              <c:numCache>
                <c:formatCode>0.000</c:formatCode>
                <c:ptCount val="2"/>
                <c:pt idx="0" formatCode="0.000_ ">
                  <c:v>2</c:v>
                </c:pt>
                <c:pt idx="1">
                  <c:v>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FA0-4DA7-AA87-2285BFD36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689888"/>
        <c:axId val="464697728"/>
      </c:scatterChart>
      <c:valAx>
        <c:axId val="464689888"/>
        <c:scaling>
          <c:logBase val="10"/>
          <c:orientation val="minMax"/>
          <c:max val="10000"/>
          <c:min val="1.0000000000000004E-6"/>
        </c:scaling>
        <c:delete val="0"/>
        <c:axPos val="b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</c:majorGridlines>
        <c:minorGridlines>
          <c:spPr>
            <a:ln>
              <a:solidFill>
                <a:srgbClr val="CCECFF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800"/>
                </a:pPr>
                <a:r>
                  <a:rPr lang="en-US" sz="800"/>
                  <a:t>Eu10/20 [MeV/u]</a:t>
                </a:r>
                <a:endParaRPr lang="ja-JP" sz="800"/>
              </a:p>
            </c:rich>
          </c:tx>
          <c:layout>
            <c:manualLayout>
              <c:xMode val="edge"/>
              <c:yMode val="edge"/>
              <c:x val="0.11834583333333334"/>
              <c:y val="0.94159555555555552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cross"/>
        <c:minorTickMark val="in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4697728"/>
        <c:crosses val="autoZero"/>
        <c:crossBetween val="midCat"/>
      </c:valAx>
      <c:valAx>
        <c:axId val="464697728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12700">
              <a:solidFill>
                <a:schemeClr val="tx2"/>
              </a:solidFill>
              <a:prstDash val="sysDash"/>
            </a:ln>
          </c:spPr>
        </c:majorGridlines>
        <c:min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800"/>
                </a:pPr>
                <a:r>
                  <a:rPr lang="en-US" sz="800" baseline="0"/>
                  <a:t>LET [MeV/(mg/cm2)]]</a:t>
                </a:r>
                <a:endParaRPr lang="ja-JP" sz="800"/>
              </a:p>
            </c:rich>
          </c:tx>
          <c:layout>
            <c:manualLayout>
              <c:xMode val="edge"/>
              <c:yMode val="edge"/>
              <c:x val="1.1006297211633785E-2"/>
              <c:y val="0.35391286728757415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cross"/>
        <c:minorTickMark val="out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464689888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0559342976523317"/>
          <c:y val="7.1336017235000992E-2"/>
          <c:w val="0.16360059523809523"/>
          <c:h val="0.21262343750000004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3175">
      <a:noFill/>
    </a:ln>
  </c:spPr>
  <c:txPr>
    <a:bodyPr/>
    <a:lstStyle/>
    <a:p>
      <a:pPr>
        <a:defRPr b="0" baseline="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n-US" sz="1000" b="1"/>
              <a:t>Rng</a:t>
            </a:r>
          </a:p>
        </c:rich>
      </c:tx>
      <c:layout>
        <c:manualLayout>
          <c:xMode val="edge"/>
          <c:yMode val="edge"/>
          <c:x val="0.30772638888888892"/>
          <c:y val="0.73157407407407404"/>
        </c:manualLayout>
      </c:layout>
      <c:overlay val="1"/>
      <c:spPr>
        <a:solidFill>
          <a:schemeClr val="bg1"/>
        </a:solidFill>
        <a:ln>
          <a:solidFill>
            <a:srgbClr val="00B05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7963194444444439"/>
          <c:y val="5.4876388888888891E-2"/>
          <c:w val="0.66157175925925926"/>
          <c:h val="0.7924847222222221"/>
        </c:manualLayout>
      </c:layout>
      <c:scatterChart>
        <c:scatterStyle val="lineMarker"/>
        <c:varyColors val="0"/>
        <c:ser>
          <c:idx val="3"/>
          <c:order val="0"/>
          <c:tx>
            <c:v>tbl</c:v>
          </c:tx>
          <c:spPr>
            <a:ln w="12700">
              <a:solidFill>
                <a:srgbClr val="006600"/>
              </a:solidFill>
            </a:ln>
          </c:spPr>
          <c:marker>
            <c:symbol val="circle"/>
            <c:size val="5"/>
            <c:spPr>
              <a:noFill/>
              <a:ln>
                <a:solidFill>
                  <a:srgbClr val="006600"/>
                </a:solidFill>
              </a:ln>
            </c:spPr>
          </c:marker>
          <c:xVal>
            <c:numRef>
              <c:f>'dbg21'!$D$22:$D$26</c:f>
              <c:numCache>
                <c:formatCode>0.000_ </c:formatCode>
                <c:ptCount val="5"/>
                <c:pt idx="0">
                  <c:v>12.5</c:v>
                </c:pt>
                <c:pt idx="1">
                  <c:v>13.75</c:v>
                </c:pt>
                <c:pt idx="2">
                  <c:v>15</c:v>
                </c:pt>
                <c:pt idx="3">
                  <c:v>16.25</c:v>
                </c:pt>
                <c:pt idx="4">
                  <c:v>17.5</c:v>
                </c:pt>
              </c:numCache>
            </c:numRef>
          </c:xVal>
          <c:yVal>
            <c:numRef>
              <c:f>'dbg21'!$E$22:$E$26</c:f>
              <c:numCache>
                <c:formatCode>0.000E+00</c:formatCode>
                <c:ptCount val="5"/>
                <c:pt idx="0">
                  <c:v>177.81</c:v>
                </c:pt>
                <c:pt idx="1">
                  <c:v>203.82</c:v>
                </c:pt>
                <c:pt idx="2">
                  <c:v>231.37</c:v>
                </c:pt>
                <c:pt idx="3">
                  <c:v>260.45999999999998</c:v>
                </c:pt>
                <c:pt idx="4">
                  <c:v>291.06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9A5-4053-892F-0BF03C4DFD92}"/>
            </c:ext>
          </c:extLst>
        </c:ser>
        <c:ser>
          <c:idx val="0"/>
          <c:order val="1"/>
          <c:tx>
            <c:v>val</c:v>
          </c:tx>
          <c:spPr>
            <a:ln>
              <a:noFill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'dbg21'!$D$21</c:f>
              <c:numCache>
                <c:formatCode>0.00_ </c:formatCode>
                <c:ptCount val="1"/>
                <c:pt idx="0">
                  <c:v>15</c:v>
                </c:pt>
              </c:numCache>
            </c:numRef>
          </c:xVal>
          <c:yVal>
            <c:numRef>
              <c:f>'dbg21'!$E$32</c:f>
              <c:numCache>
                <c:formatCode>0.000E+00</c:formatCode>
                <c:ptCount val="1"/>
                <c:pt idx="0">
                  <c:v>231.37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9A5-4053-892F-0BF03C4DF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696944"/>
        <c:axId val="464699688"/>
      </c:scatterChart>
      <c:valAx>
        <c:axId val="46469694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</c:majorGridlines>
        <c:minorGridlines>
          <c:spPr>
            <a:ln>
              <a:solidFill>
                <a:srgbClr val="CCECFF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800"/>
                </a:pPr>
                <a:r>
                  <a:rPr lang="en-US" sz="800"/>
                  <a:t>E beam [MeV/A]</a:t>
                </a:r>
                <a:endParaRPr lang="ja-JP" sz="800"/>
              </a:p>
            </c:rich>
          </c:tx>
          <c:layout>
            <c:manualLayout>
              <c:xMode val="edge"/>
              <c:yMode val="edge"/>
              <c:x val="0.42526250000000004"/>
              <c:y val="0.91768518518518516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cross"/>
        <c:minorTickMark val="in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4699688"/>
        <c:crosses val="autoZero"/>
        <c:crossBetween val="midCat"/>
      </c:valAx>
      <c:valAx>
        <c:axId val="464699688"/>
        <c:scaling>
          <c:orientation val="minMax"/>
        </c:scaling>
        <c:delete val="0"/>
        <c:axPos val="l"/>
        <c:majorGridlines>
          <c:spPr>
            <a:ln w="12700">
              <a:solidFill>
                <a:schemeClr val="tx2"/>
              </a:solidFill>
              <a:prstDash val="sysDash"/>
            </a:ln>
          </c:spPr>
        </c:majorGridlines>
        <c:min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800"/>
                </a:pPr>
                <a:r>
                  <a:rPr lang="en-US" sz="800"/>
                  <a:t>Rng,</a:t>
                </a:r>
                <a:r>
                  <a:rPr lang="en-US" sz="800" baseline="0"/>
                  <a:t>[MeV/(mg/cm2)]</a:t>
                </a:r>
                <a:r>
                  <a:rPr lang="en-US" sz="800"/>
                  <a:t> </a:t>
                </a:r>
                <a:endParaRPr lang="ja-JP" sz="800"/>
              </a:p>
            </c:rich>
          </c:tx>
          <c:layout>
            <c:manualLayout>
              <c:xMode val="edge"/>
              <c:yMode val="edge"/>
              <c:x val="1.1006481481481482E-2"/>
              <c:y val="0.83159398148148156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cross"/>
        <c:minorTickMark val="out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464696944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</a:ln>
  </c:spPr>
  <c:txPr>
    <a:bodyPr/>
    <a:lstStyle/>
    <a:p>
      <a:pPr>
        <a:defRPr b="0" baseline="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n-US" sz="1000" b="1"/>
              <a:t>Rng</a:t>
            </a:r>
          </a:p>
        </c:rich>
      </c:tx>
      <c:layout>
        <c:manualLayout>
          <c:xMode val="edge"/>
          <c:yMode val="edge"/>
          <c:x val="0.30772638888888892"/>
          <c:y val="0.73157407407407404"/>
        </c:manualLayout>
      </c:layout>
      <c:overlay val="1"/>
      <c:spPr>
        <a:solidFill>
          <a:schemeClr val="bg1"/>
        </a:solidFill>
        <a:ln>
          <a:solidFill>
            <a:srgbClr val="00B05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7963194444444439"/>
          <c:y val="5.4876388888888891E-2"/>
          <c:w val="0.66157175925925926"/>
          <c:h val="0.7924847222222221"/>
        </c:manualLayout>
      </c:layout>
      <c:scatterChart>
        <c:scatterStyle val="lineMarker"/>
        <c:varyColors val="0"/>
        <c:ser>
          <c:idx val="3"/>
          <c:order val="0"/>
          <c:tx>
            <c:v>tbl</c:v>
          </c:tx>
          <c:spPr>
            <a:ln w="12700">
              <a:solidFill>
                <a:srgbClr val="006600"/>
              </a:solidFill>
            </a:ln>
          </c:spPr>
          <c:marker>
            <c:symbol val="circle"/>
            <c:size val="5"/>
            <c:spPr>
              <a:noFill/>
              <a:ln>
                <a:solidFill>
                  <a:srgbClr val="006600"/>
                </a:solidFill>
              </a:ln>
            </c:spPr>
          </c:marker>
          <c:xVal>
            <c:numRef>
              <c:f>'dbg21'!$H$22:$H$26</c:f>
              <c:numCache>
                <c:formatCode>0.000_ </c:formatCode>
                <c:ptCount val="5"/>
                <c:pt idx="0">
                  <c:v>12.5</c:v>
                </c:pt>
                <c:pt idx="1">
                  <c:v>13.75</c:v>
                </c:pt>
                <c:pt idx="2">
                  <c:v>15</c:v>
                </c:pt>
                <c:pt idx="3">
                  <c:v>16.25</c:v>
                </c:pt>
                <c:pt idx="4">
                  <c:v>17.5</c:v>
                </c:pt>
              </c:numCache>
            </c:numRef>
          </c:xVal>
          <c:yVal>
            <c:numRef>
              <c:f>'dbg21'!$I$22:$I$26</c:f>
              <c:numCache>
                <c:formatCode>0.000E+00</c:formatCode>
                <c:ptCount val="5"/>
                <c:pt idx="0">
                  <c:v>177.81</c:v>
                </c:pt>
                <c:pt idx="1">
                  <c:v>203.82</c:v>
                </c:pt>
                <c:pt idx="2">
                  <c:v>231.37</c:v>
                </c:pt>
                <c:pt idx="3">
                  <c:v>260.45999999999998</c:v>
                </c:pt>
                <c:pt idx="4">
                  <c:v>291.06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F46-4AB6-A7F2-55F54A9B9609}"/>
            </c:ext>
          </c:extLst>
        </c:ser>
        <c:ser>
          <c:idx val="0"/>
          <c:order val="1"/>
          <c:tx>
            <c:v>val</c:v>
          </c:tx>
          <c:spPr>
            <a:ln>
              <a:noFill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'dbg21'!$H$32</c:f>
              <c:numCache>
                <c:formatCode>0.000E+00</c:formatCode>
                <c:ptCount val="1"/>
                <c:pt idx="0">
                  <c:v>14.092558983666063</c:v>
                </c:pt>
              </c:numCache>
            </c:numRef>
          </c:xVal>
          <c:yVal>
            <c:numRef>
              <c:f>'dbg21'!$I$21</c:f>
              <c:numCache>
                <c:formatCode>0.00_ </c:formatCode>
                <c:ptCount val="1"/>
                <c:pt idx="0">
                  <c:v>211.37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46-4AB6-A7F2-55F54A9B9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698512"/>
        <c:axId val="464698904"/>
      </c:scatterChart>
      <c:valAx>
        <c:axId val="46469851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</c:majorGridlines>
        <c:minorGridlines>
          <c:spPr>
            <a:ln>
              <a:solidFill>
                <a:srgbClr val="CCECFF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800"/>
                </a:pPr>
                <a:r>
                  <a:rPr lang="en-US" sz="800"/>
                  <a:t>E beam [MeV/A]</a:t>
                </a:r>
                <a:endParaRPr lang="ja-JP" sz="800"/>
              </a:p>
            </c:rich>
          </c:tx>
          <c:layout>
            <c:manualLayout>
              <c:xMode val="edge"/>
              <c:yMode val="edge"/>
              <c:x val="0.42526250000000004"/>
              <c:y val="0.91768518518518516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cross"/>
        <c:minorTickMark val="in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4698904"/>
        <c:crosses val="autoZero"/>
        <c:crossBetween val="midCat"/>
      </c:valAx>
      <c:valAx>
        <c:axId val="464698904"/>
        <c:scaling>
          <c:orientation val="minMax"/>
        </c:scaling>
        <c:delete val="0"/>
        <c:axPos val="l"/>
        <c:majorGridlines>
          <c:spPr>
            <a:ln w="12700">
              <a:solidFill>
                <a:schemeClr val="tx2"/>
              </a:solidFill>
              <a:prstDash val="sysDash"/>
            </a:ln>
          </c:spPr>
        </c:majorGridlines>
        <c:min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800"/>
                </a:pPr>
                <a:r>
                  <a:rPr lang="en-US" sz="800"/>
                  <a:t>Rng,</a:t>
                </a:r>
                <a:r>
                  <a:rPr lang="en-US" sz="800" baseline="0"/>
                  <a:t>[MeV/(mg/cm2)]</a:t>
                </a:r>
                <a:r>
                  <a:rPr lang="en-US" sz="800"/>
                  <a:t> </a:t>
                </a:r>
                <a:endParaRPr lang="ja-JP" sz="800"/>
              </a:p>
            </c:rich>
          </c:tx>
          <c:layout>
            <c:manualLayout>
              <c:xMode val="edge"/>
              <c:yMode val="edge"/>
              <c:x val="1.1006481481481482E-2"/>
              <c:y val="0.83159398148148156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cross"/>
        <c:minorTickMark val="out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464698512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</a:ln>
  </c:spPr>
  <c:txPr>
    <a:bodyPr/>
    <a:lstStyle/>
    <a:p>
      <a:pPr>
        <a:defRPr b="0" baseline="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n-US" sz="1000" b="1"/>
              <a:t>Rng</a:t>
            </a:r>
          </a:p>
        </c:rich>
      </c:tx>
      <c:layout>
        <c:manualLayout>
          <c:xMode val="edge"/>
          <c:yMode val="edge"/>
          <c:x val="0.30772638888888892"/>
          <c:y val="0.73157407407407404"/>
        </c:manualLayout>
      </c:layout>
      <c:overlay val="1"/>
      <c:spPr>
        <a:solidFill>
          <a:schemeClr val="bg1"/>
        </a:solidFill>
        <a:ln>
          <a:solidFill>
            <a:srgbClr val="00B05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7963194444444439"/>
          <c:y val="5.4876388888888891E-2"/>
          <c:w val="0.66157175925925926"/>
          <c:h val="0.7924847222222221"/>
        </c:manualLayout>
      </c:layout>
      <c:scatterChart>
        <c:scatterStyle val="lineMarker"/>
        <c:varyColors val="0"/>
        <c:ser>
          <c:idx val="3"/>
          <c:order val="0"/>
          <c:tx>
            <c:v>tbl</c:v>
          </c:tx>
          <c:spPr>
            <a:ln w="12700">
              <a:solidFill>
                <a:srgbClr val="006600"/>
              </a:solidFill>
            </a:ln>
          </c:spPr>
          <c:marker>
            <c:symbol val="circle"/>
            <c:size val="5"/>
            <c:spPr>
              <a:noFill/>
              <a:ln>
                <a:solidFill>
                  <a:srgbClr val="006600"/>
                </a:solidFill>
              </a:ln>
            </c:spPr>
          </c:marker>
          <c:xVal>
            <c:numRef>
              <c:f>'dbg22'!$D$22:$D$26</c:f>
              <c:numCache>
                <c:formatCode>0.000_ </c:formatCode>
                <c:ptCount val="5"/>
                <c:pt idx="0">
                  <c:v>9.375</c:v>
                </c:pt>
                <c:pt idx="1">
                  <c:v>10</c:v>
                </c:pt>
                <c:pt idx="2">
                  <c:v>11.25</c:v>
                </c:pt>
                <c:pt idx="3">
                  <c:v>12.5</c:v>
                </c:pt>
                <c:pt idx="4">
                  <c:v>13.75</c:v>
                </c:pt>
              </c:numCache>
            </c:numRef>
          </c:xVal>
          <c:yVal>
            <c:numRef>
              <c:f>'dbg22'!$E$22:$E$26</c:f>
              <c:numCache>
                <c:formatCode>0.000E+00</c:formatCode>
                <c:ptCount val="5"/>
                <c:pt idx="0">
                  <c:v>119.62</c:v>
                </c:pt>
                <c:pt idx="1">
                  <c:v>130.47</c:v>
                </c:pt>
                <c:pt idx="2">
                  <c:v>153.35</c:v>
                </c:pt>
                <c:pt idx="3">
                  <c:v>177.81</c:v>
                </c:pt>
                <c:pt idx="4">
                  <c:v>203.82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B8C-41EB-ABA8-03190DBF4F26}"/>
            </c:ext>
          </c:extLst>
        </c:ser>
        <c:ser>
          <c:idx val="0"/>
          <c:order val="1"/>
          <c:tx>
            <c:v>val</c:v>
          </c:tx>
          <c:spPr>
            <a:ln>
              <a:noFill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'dbg22'!$D$32</c:f>
              <c:numCache>
                <c:formatCode>0.000E+00</c:formatCode>
                <c:ptCount val="1"/>
                <c:pt idx="0">
                  <c:v>10.273164335664335</c:v>
                </c:pt>
              </c:numCache>
            </c:numRef>
          </c:xVal>
          <c:yVal>
            <c:numRef>
              <c:f>'dbg22'!$E$21</c:f>
              <c:numCache>
                <c:formatCode>0.000E+00</c:formatCode>
                <c:ptCount val="1"/>
                <c:pt idx="0">
                  <c:v>135.47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B8C-41EB-ABA8-03190DBF4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700864"/>
        <c:axId val="464701256"/>
      </c:scatterChart>
      <c:valAx>
        <c:axId val="46470086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</c:majorGridlines>
        <c:minorGridlines>
          <c:spPr>
            <a:ln>
              <a:solidFill>
                <a:srgbClr val="CCECFF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800"/>
                </a:pPr>
                <a:r>
                  <a:rPr lang="en-US" sz="800"/>
                  <a:t>E beam [MeV/A]</a:t>
                </a:r>
                <a:endParaRPr lang="ja-JP" sz="800"/>
              </a:p>
            </c:rich>
          </c:tx>
          <c:layout>
            <c:manualLayout>
              <c:xMode val="edge"/>
              <c:yMode val="edge"/>
              <c:x val="0.42526250000000004"/>
              <c:y val="0.91768518518518516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cross"/>
        <c:minorTickMark val="in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4701256"/>
        <c:crosses val="autoZero"/>
        <c:crossBetween val="midCat"/>
      </c:valAx>
      <c:valAx>
        <c:axId val="464701256"/>
        <c:scaling>
          <c:orientation val="minMax"/>
        </c:scaling>
        <c:delete val="0"/>
        <c:axPos val="l"/>
        <c:majorGridlines>
          <c:spPr>
            <a:ln w="12700">
              <a:solidFill>
                <a:schemeClr val="tx2"/>
              </a:solidFill>
              <a:prstDash val="sysDash"/>
            </a:ln>
          </c:spPr>
        </c:majorGridlines>
        <c:min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800"/>
                </a:pPr>
                <a:r>
                  <a:rPr lang="en-US" sz="800"/>
                  <a:t>Rng,</a:t>
                </a:r>
                <a:r>
                  <a:rPr lang="en-US" sz="800" baseline="0"/>
                  <a:t>[MeV/(mg/cm2)]</a:t>
                </a:r>
                <a:r>
                  <a:rPr lang="en-US" sz="800"/>
                  <a:t> </a:t>
                </a:r>
                <a:endParaRPr lang="ja-JP" sz="800"/>
              </a:p>
            </c:rich>
          </c:tx>
          <c:layout>
            <c:manualLayout>
              <c:xMode val="edge"/>
              <c:yMode val="edge"/>
              <c:x val="1.1006481481481482E-2"/>
              <c:y val="0.83159398148148156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cross"/>
        <c:minorTickMark val="out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464700864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</a:ln>
  </c:spPr>
  <c:txPr>
    <a:bodyPr/>
    <a:lstStyle/>
    <a:p>
      <a:pPr>
        <a:defRPr b="0" baseline="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n-US" sz="1000" b="1"/>
              <a:t>Rng</a:t>
            </a:r>
          </a:p>
        </c:rich>
      </c:tx>
      <c:layout>
        <c:manualLayout>
          <c:xMode val="edge"/>
          <c:yMode val="edge"/>
          <c:x val="0.30772638888888892"/>
          <c:y val="0.73157407407407404"/>
        </c:manualLayout>
      </c:layout>
      <c:overlay val="1"/>
      <c:spPr>
        <a:solidFill>
          <a:schemeClr val="bg1"/>
        </a:solidFill>
        <a:ln>
          <a:solidFill>
            <a:srgbClr val="00B05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7963194444444439"/>
          <c:y val="5.4876388888888891E-2"/>
          <c:w val="0.66157175925925926"/>
          <c:h val="0.7924847222222221"/>
        </c:manualLayout>
      </c:layout>
      <c:scatterChart>
        <c:scatterStyle val="lineMarker"/>
        <c:varyColors val="0"/>
        <c:ser>
          <c:idx val="3"/>
          <c:order val="0"/>
          <c:tx>
            <c:v>tbl</c:v>
          </c:tx>
          <c:spPr>
            <a:ln w="12700">
              <a:solidFill>
                <a:srgbClr val="006600"/>
              </a:solidFill>
            </a:ln>
          </c:spPr>
          <c:marker>
            <c:symbol val="circle"/>
            <c:size val="5"/>
            <c:spPr>
              <a:noFill/>
              <a:ln>
                <a:solidFill>
                  <a:srgbClr val="006600"/>
                </a:solidFill>
              </a:ln>
            </c:spPr>
          </c:marker>
          <c:xVal>
            <c:numRef>
              <c:f>'dbg22'!$H$22:$H$26</c:f>
              <c:numCache>
                <c:formatCode>0.000_ </c:formatCode>
                <c:ptCount val="5"/>
                <c:pt idx="0">
                  <c:v>8.75</c:v>
                </c:pt>
                <c:pt idx="1">
                  <c:v>9.375</c:v>
                </c:pt>
                <c:pt idx="2">
                  <c:v>10</c:v>
                </c:pt>
                <c:pt idx="3">
                  <c:v>11.25</c:v>
                </c:pt>
                <c:pt idx="4">
                  <c:v>12.5</c:v>
                </c:pt>
              </c:numCache>
            </c:numRef>
          </c:xVal>
          <c:yVal>
            <c:numRef>
              <c:f>'dbg22'!$I$22:$I$26</c:f>
              <c:numCache>
                <c:formatCode>0.000E+00</c:formatCode>
                <c:ptCount val="5"/>
                <c:pt idx="0">
                  <c:v>109.16</c:v>
                </c:pt>
                <c:pt idx="1">
                  <c:v>119.62</c:v>
                </c:pt>
                <c:pt idx="2">
                  <c:v>130.47</c:v>
                </c:pt>
                <c:pt idx="3">
                  <c:v>153.35</c:v>
                </c:pt>
                <c:pt idx="4">
                  <c:v>177.81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E4-4627-B105-A558CB7F9FDB}"/>
            </c:ext>
          </c:extLst>
        </c:ser>
        <c:ser>
          <c:idx val="0"/>
          <c:order val="1"/>
          <c:tx>
            <c:v>val</c:v>
          </c:tx>
          <c:spPr>
            <a:ln>
              <a:noFill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'dbg22'!$H$15</c:f>
              <c:numCache>
                <c:formatCode>0.000</c:formatCode>
                <c:ptCount val="1"/>
                <c:pt idx="0">
                  <c:v>10</c:v>
                </c:pt>
              </c:numCache>
            </c:numRef>
          </c:xVal>
          <c:yVal>
            <c:numRef>
              <c:f>'dbg22'!$I$32</c:f>
              <c:numCache>
                <c:formatCode>0.000E+00</c:formatCode>
                <c:ptCount val="1"/>
                <c:pt idx="0">
                  <c:v>130.47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E4-4627-B105-A558CB7F9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699296"/>
        <c:axId val="464703608"/>
      </c:scatterChart>
      <c:valAx>
        <c:axId val="46469929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</c:majorGridlines>
        <c:minorGridlines>
          <c:spPr>
            <a:ln>
              <a:solidFill>
                <a:srgbClr val="CCECFF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800"/>
                </a:pPr>
                <a:r>
                  <a:rPr lang="en-US" sz="800"/>
                  <a:t>E beam [MeV/A]</a:t>
                </a:r>
                <a:endParaRPr lang="ja-JP" sz="800"/>
              </a:p>
            </c:rich>
          </c:tx>
          <c:layout>
            <c:manualLayout>
              <c:xMode val="edge"/>
              <c:yMode val="edge"/>
              <c:x val="0.42526250000000004"/>
              <c:y val="0.91768518518518516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cross"/>
        <c:minorTickMark val="in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4703608"/>
        <c:crosses val="autoZero"/>
        <c:crossBetween val="midCat"/>
      </c:valAx>
      <c:valAx>
        <c:axId val="464703608"/>
        <c:scaling>
          <c:orientation val="minMax"/>
        </c:scaling>
        <c:delete val="0"/>
        <c:axPos val="l"/>
        <c:majorGridlines>
          <c:spPr>
            <a:ln w="12700">
              <a:solidFill>
                <a:schemeClr val="tx2"/>
              </a:solidFill>
              <a:prstDash val="sysDash"/>
            </a:ln>
          </c:spPr>
        </c:majorGridlines>
        <c:min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800"/>
                </a:pPr>
                <a:r>
                  <a:rPr lang="en-US" sz="800"/>
                  <a:t>Rng,</a:t>
                </a:r>
                <a:r>
                  <a:rPr lang="en-US" sz="800" baseline="0"/>
                  <a:t>[MeV/(mg/cm2)]</a:t>
                </a:r>
                <a:r>
                  <a:rPr lang="en-US" sz="800"/>
                  <a:t> </a:t>
                </a:r>
                <a:endParaRPr lang="ja-JP" sz="800"/>
              </a:p>
            </c:rich>
          </c:tx>
          <c:layout>
            <c:manualLayout>
              <c:xMode val="edge"/>
              <c:yMode val="edge"/>
              <c:x val="1.1006481481481482E-2"/>
              <c:y val="0.83159398148148156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cross"/>
        <c:minorTickMark val="out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464699296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</a:ln>
  </c:spPr>
  <c:txPr>
    <a:bodyPr/>
    <a:lstStyle/>
    <a:p>
      <a:pPr>
        <a:defRPr b="0" baseline="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n-US" sz="1000" b="1"/>
              <a:t>Eu</a:t>
            </a:r>
            <a:r>
              <a:rPr lang="en-US" sz="1000" b="1" baseline="0"/>
              <a:t> </a:t>
            </a:r>
            <a:r>
              <a:rPr lang="en-US" sz="1000" b="1"/>
              <a:t>dEu Table search</a:t>
            </a:r>
          </a:p>
        </c:rich>
      </c:tx>
      <c:layout>
        <c:manualLayout>
          <c:xMode val="edge"/>
          <c:yMode val="edge"/>
          <c:x val="1.3598055555555561E-2"/>
          <c:y val="5.4398148148148149E-3"/>
        </c:manualLayout>
      </c:layout>
      <c:overlay val="1"/>
      <c:spPr>
        <a:solidFill>
          <a:schemeClr val="bg1"/>
        </a:solidFill>
        <a:ln>
          <a:solidFill>
            <a:srgbClr val="00B05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8.1635277777777779E-2"/>
          <c:y val="5.2916666666666667E-2"/>
          <c:w val="0.8583925"/>
          <c:h val="0.7709259259259259"/>
        </c:manualLayout>
      </c:layout>
      <c:scatterChart>
        <c:scatterStyle val="lineMarker"/>
        <c:varyColors val="0"/>
        <c:ser>
          <c:idx val="2"/>
          <c:order val="0"/>
          <c:tx>
            <c:v>ws1 dEu1</c:v>
          </c:tx>
          <c:spPr>
            <a:ln w="12700">
              <a:solidFill>
                <a:srgbClr val="6600FF"/>
              </a:solidFill>
            </a:ln>
          </c:spPr>
          <c:marker>
            <c:symbol val="circle"/>
            <c:size val="3"/>
            <c:spPr>
              <a:noFill/>
              <a:ln>
                <a:solidFill>
                  <a:srgbClr val="6600FF"/>
                </a:solidFill>
              </a:ln>
            </c:spPr>
          </c:marker>
          <c:xVal>
            <c:numRef>
              <c:f>'dbg30'!$P$11:$P$219</c:f>
              <c:numCache>
                <c:formatCode>0.00000_ </c:formatCode>
                <c:ptCount val="209"/>
                <c:pt idx="0">
                  <c:v>9.9999750000000008E-6</c:v>
                </c:pt>
                <c:pt idx="1">
                  <c:v>1.1249975000000001E-5</c:v>
                </c:pt>
                <c:pt idx="2">
                  <c:v>1.2499975000000001E-5</c:v>
                </c:pt>
                <c:pt idx="3">
                  <c:v>1.3749975E-5</c:v>
                </c:pt>
                <c:pt idx="4">
                  <c:v>1.4999975E-5</c:v>
                </c:pt>
                <c:pt idx="5">
                  <c:v>1.6249975E-5</c:v>
                </c:pt>
                <c:pt idx="6">
                  <c:v>1.7499975E-5</c:v>
                </c:pt>
                <c:pt idx="7">
                  <c:v>1.9999975E-5</c:v>
                </c:pt>
                <c:pt idx="8">
                  <c:v>2.2499975000000003E-5</c:v>
                </c:pt>
                <c:pt idx="9">
                  <c:v>2.4999975000000003E-5</c:v>
                </c:pt>
                <c:pt idx="10">
                  <c:v>2.7500000000000001E-5</c:v>
                </c:pt>
                <c:pt idx="11">
                  <c:v>2.9999999999999997E-5</c:v>
                </c:pt>
                <c:pt idx="12">
                  <c:v>3.2499999999999997E-5</c:v>
                </c:pt>
                <c:pt idx="13">
                  <c:v>3.4999999999999997E-5</c:v>
                </c:pt>
                <c:pt idx="14">
                  <c:v>3.7500000000000003E-5</c:v>
                </c:pt>
                <c:pt idx="15">
                  <c:v>4.0000000000000003E-5</c:v>
                </c:pt>
                <c:pt idx="16">
                  <c:v>4.2499999999999996E-5</c:v>
                </c:pt>
                <c:pt idx="17">
                  <c:v>4.4999999999999996E-5</c:v>
                </c:pt>
                <c:pt idx="18">
                  <c:v>5.0000000000000002E-5</c:v>
                </c:pt>
                <c:pt idx="19">
                  <c:v>5.6249999999999998E-5</c:v>
                </c:pt>
                <c:pt idx="20">
                  <c:v>6.2500000000000001E-5</c:v>
                </c:pt>
                <c:pt idx="21">
                  <c:v>6.8749999999999991E-5</c:v>
                </c:pt>
                <c:pt idx="22">
                  <c:v>7.5000000000000007E-5</c:v>
                </c:pt>
                <c:pt idx="23">
                  <c:v>8.1249999999999996E-5</c:v>
                </c:pt>
                <c:pt idx="24">
                  <c:v>8.7499999999999999E-5</c:v>
                </c:pt>
                <c:pt idx="25">
                  <c:v>9.3750000000000002E-5</c:v>
                </c:pt>
                <c:pt idx="26">
                  <c:v>1E-4</c:v>
                </c:pt>
                <c:pt idx="27">
                  <c:v>1.125E-4</c:v>
                </c:pt>
                <c:pt idx="28">
                  <c:v>1.25E-4</c:v>
                </c:pt>
                <c:pt idx="29">
                  <c:v>1.3749999999999998E-4</c:v>
                </c:pt>
                <c:pt idx="30">
                  <c:v>1.5000000000000001E-4</c:v>
                </c:pt>
                <c:pt idx="31">
                  <c:v>1.6249999999999999E-4</c:v>
                </c:pt>
                <c:pt idx="32">
                  <c:v>1.75E-4</c:v>
                </c:pt>
                <c:pt idx="33">
                  <c:v>2.0000000000000001E-4</c:v>
                </c:pt>
                <c:pt idx="34">
                  <c:v>2.2499999999999999E-4</c:v>
                </c:pt>
                <c:pt idx="35">
                  <c:v>2.5000000000000001E-4</c:v>
                </c:pt>
                <c:pt idx="36">
                  <c:v>2.7499999999999996E-4</c:v>
                </c:pt>
                <c:pt idx="37">
                  <c:v>3.0000000000000003E-4</c:v>
                </c:pt>
                <c:pt idx="38">
                  <c:v>3.2499999999999999E-4</c:v>
                </c:pt>
                <c:pt idx="39">
                  <c:v>3.5E-4</c:v>
                </c:pt>
                <c:pt idx="40">
                  <c:v>3.7500000000000001E-4</c:v>
                </c:pt>
                <c:pt idx="41">
                  <c:v>4.0000000000000002E-4</c:v>
                </c:pt>
                <c:pt idx="42">
                  <c:v>4.2500000000000003E-4</c:v>
                </c:pt>
                <c:pt idx="43">
                  <c:v>4.4999999999999999E-4</c:v>
                </c:pt>
                <c:pt idx="44">
                  <c:v>5.0000000000000001E-4</c:v>
                </c:pt>
                <c:pt idx="45">
                  <c:v>5.6249999999999996E-4</c:v>
                </c:pt>
                <c:pt idx="46">
                  <c:v>6.2500000000000001E-4</c:v>
                </c:pt>
                <c:pt idx="47">
                  <c:v>6.8749999999999996E-4</c:v>
                </c:pt>
                <c:pt idx="48">
                  <c:v>7.5000000000000002E-4</c:v>
                </c:pt>
                <c:pt idx="49">
                  <c:v>8.1250000000000007E-4</c:v>
                </c:pt>
                <c:pt idx="50">
                  <c:v>8.7500000000000013E-4</c:v>
                </c:pt>
                <c:pt idx="51">
                  <c:v>9.3749999999999997E-4</c:v>
                </c:pt>
                <c:pt idx="52">
                  <c:v>1E-3</c:v>
                </c:pt>
                <c:pt idx="53">
                  <c:v>1.1249999999999999E-3</c:v>
                </c:pt>
                <c:pt idx="54">
                  <c:v>1.25E-3</c:v>
                </c:pt>
                <c:pt idx="55">
                  <c:v>1.3749999999999999E-3</c:v>
                </c:pt>
                <c:pt idx="56">
                  <c:v>1.5E-3</c:v>
                </c:pt>
                <c:pt idx="57">
                  <c:v>1.6250000000000001E-3</c:v>
                </c:pt>
                <c:pt idx="58">
                  <c:v>1.7500000000000003E-3</c:v>
                </c:pt>
                <c:pt idx="59">
                  <c:v>2E-3</c:v>
                </c:pt>
                <c:pt idx="60">
                  <c:v>2.2499999999999998E-3</c:v>
                </c:pt>
                <c:pt idx="61">
                  <c:v>2.5000000000000001E-3</c:v>
                </c:pt>
                <c:pt idx="62">
                  <c:v>2.7499999999999998E-3</c:v>
                </c:pt>
                <c:pt idx="63">
                  <c:v>3.0000000000000001E-3</c:v>
                </c:pt>
                <c:pt idx="64">
                  <c:v>3.2500000000000003E-3</c:v>
                </c:pt>
                <c:pt idx="65">
                  <c:v>3.5000000000000005E-3</c:v>
                </c:pt>
                <c:pt idx="66">
                  <c:v>3.7499999999999999E-3</c:v>
                </c:pt>
                <c:pt idx="67">
                  <c:v>4.0000000000000001E-3</c:v>
                </c:pt>
                <c:pt idx="68">
                  <c:v>4.2500000000000003E-3</c:v>
                </c:pt>
                <c:pt idx="69">
                  <c:v>4.4999999999999997E-3</c:v>
                </c:pt>
                <c:pt idx="70">
                  <c:v>5.0000000000000001E-3</c:v>
                </c:pt>
                <c:pt idx="71">
                  <c:v>5.6249999999999998E-3</c:v>
                </c:pt>
                <c:pt idx="72">
                  <c:v>6.2500000000000003E-3</c:v>
                </c:pt>
                <c:pt idx="73">
                  <c:v>6.8750000000000009E-3</c:v>
                </c:pt>
                <c:pt idx="74">
                  <c:v>7.4999999999999997E-3</c:v>
                </c:pt>
                <c:pt idx="75">
                  <c:v>8.1250000000000003E-3</c:v>
                </c:pt>
                <c:pt idx="76">
                  <c:v>8.7499999999999991E-3</c:v>
                </c:pt>
                <c:pt idx="77">
                  <c:v>9.3749999999999997E-3</c:v>
                </c:pt>
                <c:pt idx="78">
                  <c:v>0.01</c:v>
                </c:pt>
                <c:pt idx="79">
                  <c:v>1.125E-2</c:v>
                </c:pt>
                <c:pt idx="80">
                  <c:v>1.2500000000000001E-2</c:v>
                </c:pt>
                <c:pt idx="81">
                  <c:v>1.3750000000000002E-2</c:v>
                </c:pt>
                <c:pt idx="82">
                  <c:v>1.4999999999999999E-2</c:v>
                </c:pt>
                <c:pt idx="83">
                  <c:v>1.6250000000000001E-2</c:v>
                </c:pt>
                <c:pt idx="84">
                  <c:v>1.7499999999999998E-2</c:v>
                </c:pt>
                <c:pt idx="85">
                  <c:v>0.02</c:v>
                </c:pt>
                <c:pt idx="86">
                  <c:v>2.2499999999999999E-2</c:v>
                </c:pt>
                <c:pt idx="87">
                  <c:v>2.5000000000000001E-2</c:v>
                </c:pt>
                <c:pt idx="88">
                  <c:v>2.7500000000000004E-2</c:v>
                </c:pt>
                <c:pt idx="89">
                  <c:v>0.03</c:v>
                </c:pt>
                <c:pt idx="90">
                  <c:v>3.2500000000000001E-2</c:v>
                </c:pt>
                <c:pt idx="91">
                  <c:v>3.4999999999999996E-2</c:v>
                </c:pt>
                <c:pt idx="92">
                  <c:v>3.7499999999999999E-2</c:v>
                </c:pt>
                <c:pt idx="93">
                  <c:v>0.04</c:v>
                </c:pt>
                <c:pt idx="94">
                  <c:v>4.2499999999999996E-2</c:v>
                </c:pt>
                <c:pt idx="95">
                  <c:v>4.4999999999999998E-2</c:v>
                </c:pt>
                <c:pt idx="96">
                  <c:v>0.05</c:v>
                </c:pt>
                <c:pt idx="97">
                  <c:v>5.6250000000000001E-2</c:v>
                </c:pt>
                <c:pt idx="98">
                  <c:v>6.25E-2</c:v>
                </c:pt>
                <c:pt idx="99">
                  <c:v>6.8750000000000006E-2</c:v>
                </c:pt>
                <c:pt idx="100">
                  <c:v>7.4999999999999997E-2</c:v>
                </c:pt>
                <c:pt idx="101">
                  <c:v>8.1250000000000003E-2</c:v>
                </c:pt>
                <c:pt idx="102">
                  <c:v>8.7499999999999994E-2</c:v>
                </c:pt>
                <c:pt idx="103">
                  <c:v>9.375E-2</c:v>
                </c:pt>
                <c:pt idx="104">
                  <c:v>0.1</c:v>
                </c:pt>
                <c:pt idx="105">
                  <c:v>0.1125</c:v>
                </c:pt>
                <c:pt idx="106">
                  <c:v>0.125</c:v>
                </c:pt>
                <c:pt idx="107">
                  <c:v>0.13750000000000001</c:v>
                </c:pt>
                <c:pt idx="108">
                  <c:v>0.15</c:v>
                </c:pt>
                <c:pt idx="109">
                  <c:v>0.16250000000000001</c:v>
                </c:pt>
                <c:pt idx="110">
                  <c:v>0.17499999999999999</c:v>
                </c:pt>
                <c:pt idx="111">
                  <c:v>0.2</c:v>
                </c:pt>
                <c:pt idx="112">
                  <c:v>0.22500000000000001</c:v>
                </c:pt>
                <c:pt idx="113">
                  <c:v>0.25</c:v>
                </c:pt>
                <c:pt idx="114">
                  <c:v>0.27500000000000002</c:v>
                </c:pt>
                <c:pt idx="115">
                  <c:v>0.3</c:v>
                </c:pt>
                <c:pt idx="116">
                  <c:v>0.32500000000000001</c:v>
                </c:pt>
                <c:pt idx="117">
                  <c:v>0.35</c:v>
                </c:pt>
                <c:pt idx="118">
                  <c:v>0.375</c:v>
                </c:pt>
                <c:pt idx="119">
                  <c:v>0.4</c:v>
                </c:pt>
                <c:pt idx="120">
                  <c:v>0.42499999999999999</c:v>
                </c:pt>
                <c:pt idx="121">
                  <c:v>0.45</c:v>
                </c:pt>
                <c:pt idx="122">
                  <c:v>0.5</c:v>
                </c:pt>
                <c:pt idx="123">
                  <c:v>0.5625</c:v>
                </c:pt>
                <c:pt idx="124">
                  <c:v>0.625</c:v>
                </c:pt>
                <c:pt idx="125">
                  <c:v>0.6875</c:v>
                </c:pt>
                <c:pt idx="126">
                  <c:v>0.75</c:v>
                </c:pt>
                <c:pt idx="127">
                  <c:v>0.8125</c:v>
                </c:pt>
                <c:pt idx="128">
                  <c:v>0.875</c:v>
                </c:pt>
                <c:pt idx="129">
                  <c:v>0.9375</c:v>
                </c:pt>
                <c:pt idx="130" formatCode="0.000_ ">
                  <c:v>1</c:v>
                </c:pt>
                <c:pt idx="131" formatCode="0.000_ ">
                  <c:v>1.125</c:v>
                </c:pt>
                <c:pt idx="132" formatCode="0.000_ ">
                  <c:v>1.25</c:v>
                </c:pt>
                <c:pt idx="133" formatCode="0.000_ ">
                  <c:v>1.375</c:v>
                </c:pt>
                <c:pt idx="134" formatCode="0.000_ ">
                  <c:v>1.5</c:v>
                </c:pt>
                <c:pt idx="135" formatCode="0.000_ ">
                  <c:v>1.625</c:v>
                </c:pt>
                <c:pt idx="136" formatCode="0.000_ ">
                  <c:v>1.75</c:v>
                </c:pt>
                <c:pt idx="137" formatCode="0.000_ ">
                  <c:v>2</c:v>
                </c:pt>
                <c:pt idx="138" formatCode="0.000_ ">
                  <c:v>2.25</c:v>
                </c:pt>
                <c:pt idx="139" formatCode="0.000_ ">
                  <c:v>2.5</c:v>
                </c:pt>
                <c:pt idx="140" formatCode="0.000_ ">
                  <c:v>2.75</c:v>
                </c:pt>
                <c:pt idx="141" formatCode="0.000_ ">
                  <c:v>3</c:v>
                </c:pt>
                <c:pt idx="142" formatCode="0.000_ ">
                  <c:v>3.25</c:v>
                </c:pt>
                <c:pt idx="143" formatCode="0.000_ ">
                  <c:v>3.5</c:v>
                </c:pt>
                <c:pt idx="144" formatCode="0.000_ ">
                  <c:v>3.75</c:v>
                </c:pt>
                <c:pt idx="145" formatCode="0.000_ ">
                  <c:v>4</c:v>
                </c:pt>
                <c:pt idx="146" formatCode="0.000_ ">
                  <c:v>4.25</c:v>
                </c:pt>
                <c:pt idx="147" formatCode="0.000_ ">
                  <c:v>4.5</c:v>
                </c:pt>
                <c:pt idx="148" formatCode="0.000_ ">
                  <c:v>5</c:v>
                </c:pt>
                <c:pt idx="149" formatCode="0.000_ ">
                  <c:v>5.625</c:v>
                </c:pt>
                <c:pt idx="150" formatCode="0.000_ ">
                  <c:v>6.25</c:v>
                </c:pt>
                <c:pt idx="151" formatCode="0.000_ ">
                  <c:v>6.875</c:v>
                </c:pt>
                <c:pt idx="152" formatCode="0.000_ ">
                  <c:v>7.5</c:v>
                </c:pt>
                <c:pt idx="153" formatCode="0.000_ ">
                  <c:v>8.125</c:v>
                </c:pt>
                <c:pt idx="154" formatCode="0.000_ ">
                  <c:v>8.75</c:v>
                </c:pt>
                <c:pt idx="155" formatCode="0.000_ ">
                  <c:v>9.375</c:v>
                </c:pt>
                <c:pt idx="156" formatCode="0.000_ ">
                  <c:v>10</c:v>
                </c:pt>
                <c:pt idx="157" formatCode="0.000_ ">
                  <c:v>11.25</c:v>
                </c:pt>
                <c:pt idx="158" formatCode="0.000_ ">
                  <c:v>12.5</c:v>
                </c:pt>
                <c:pt idx="159" formatCode="0.000_ ">
                  <c:v>13.75</c:v>
                </c:pt>
                <c:pt idx="160" formatCode="0.000_ ">
                  <c:v>15</c:v>
                </c:pt>
                <c:pt idx="161" formatCode="0.000_ ">
                  <c:v>16.25</c:v>
                </c:pt>
                <c:pt idx="162" formatCode="0.000_ ">
                  <c:v>17.5</c:v>
                </c:pt>
                <c:pt idx="163" formatCode="0.000_ ">
                  <c:v>20</c:v>
                </c:pt>
                <c:pt idx="164" formatCode="0.000_ ">
                  <c:v>22.5</c:v>
                </c:pt>
                <c:pt idx="165" formatCode="0.000_ ">
                  <c:v>25</c:v>
                </c:pt>
                <c:pt idx="166" formatCode="0.000_ ">
                  <c:v>27.5</c:v>
                </c:pt>
                <c:pt idx="167" formatCode="0.000_ ">
                  <c:v>30</c:v>
                </c:pt>
                <c:pt idx="168" formatCode="0.000_ ">
                  <c:v>32.5</c:v>
                </c:pt>
                <c:pt idx="169" formatCode="0.000_ ">
                  <c:v>35</c:v>
                </c:pt>
                <c:pt idx="170" formatCode="0.000_ ">
                  <c:v>37.5</c:v>
                </c:pt>
                <c:pt idx="171" formatCode="0.000_ ">
                  <c:v>40</c:v>
                </c:pt>
                <c:pt idx="172" formatCode="0.000_ ">
                  <c:v>42.5</c:v>
                </c:pt>
                <c:pt idx="173" formatCode="0.000_ ">
                  <c:v>45</c:v>
                </c:pt>
                <c:pt idx="174" formatCode="0.000_ ">
                  <c:v>50</c:v>
                </c:pt>
                <c:pt idx="175" formatCode="0.000_ ">
                  <c:v>56.25</c:v>
                </c:pt>
                <c:pt idx="176" formatCode="0.000_ ">
                  <c:v>62.5</c:v>
                </c:pt>
                <c:pt idx="177" formatCode="0.000_ ">
                  <c:v>68.75</c:v>
                </c:pt>
                <c:pt idx="178" formatCode="0.000_ ">
                  <c:v>75</c:v>
                </c:pt>
                <c:pt idx="179" formatCode="0.000_ ">
                  <c:v>81.25</c:v>
                </c:pt>
                <c:pt idx="180" formatCode="0.000_ ">
                  <c:v>87.5</c:v>
                </c:pt>
                <c:pt idx="181" formatCode="0.000_ ">
                  <c:v>93.75</c:v>
                </c:pt>
                <c:pt idx="182" formatCode="0.00_ ">
                  <c:v>100</c:v>
                </c:pt>
                <c:pt idx="183" formatCode="0.00_ ">
                  <c:v>112.5</c:v>
                </c:pt>
                <c:pt idx="184" formatCode="0.00_ ">
                  <c:v>125</c:v>
                </c:pt>
                <c:pt idx="185" formatCode="0.00_ ">
                  <c:v>137.5</c:v>
                </c:pt>
                <c:pt idx="186" formatCode="0.00_ ">
                  <c:v>150</c:v>
                </c:pt>
                <c:pt idx="187" formatCode="0.00_ ">
                  <c:v>162.5</c:v>
                </c:pt>
                <c:pt idx="188" formatCode="0.00_ ">
                  <c:v>175</c:v>
                </c:pt>
                <c:pt idx="189" formatCode="0.00_ ">
                  <c:v>200</c:v>
                </c:pt>
                <c:pt idx="190" formatCode="0.00_ ">
                  <c:v>225</c:v>
                </c:pt>
                <c:pt idx="191" formatCode="0.00_ ">
                  <c:v>250</c:v>
                </c:pt>
                <c:pt idx="192" formatCode="0.00_ ">
                  <c:v>275</c:v>
                </c:pt>
                <c:pt idx="193" formatCode="0.00_ ">
                  <c:v>300</c:v>
                </c:pt>
                <c:pt idx="194" formatCode="0.00_ ">
                  <c:v>325</c:v>
                </c:pt>
                <c:pt idx="195" formatCode="0.00_ ">
                  <c:v>350</c:v>
                </c:pt>
                <c:pt idx="196" formatCode="0.00_ ">
                  <c:v>375</c:v>
                </c:pt>
                <c:pt idx="197" formatCode="0.00_ ">
                  <c:v>400</c:v>
                </c:pt>
                <c:pt idx="198" formatCode="0.00_ ">
                  <c:v>425</c:v>
                </c:pt>
                <c:pt idx="199" formatCode="0.00_ ">
                  <c:v>450</c:v>
                </c:pt>
                <c:pt idx="200" formatCode="0.00_ ">
                  <c:v>500</c:v>
                </c:pt>
                <c:pt idx="201" formatCode="0.00_ ">
                  <c:v>562.5</c:v>
                </c:pt>
                <c:pt idx="202" formatCode="0.00_ ">
                  <c:v>625</c:v>
                </c:pt>
                <c:pt idx="203" formatCode="0.00_ ">
                  <c:v>687.5</c:v>
                </c:pt>
                <c:pt idx="204" formatCode="0.00_ ">
                  <c:v>750</c:v>
                </c:pt>
                <c:pt idx="205" formatCode="0.00_ ">
                  <c:v>812.5</c:v>
                </c:pt>
                <c:pt idx="206" formatCode="0.00_ ">
                  <c:v>875</c:v>
                </c:pt>
                <c:pt idx="207" formatCode="0.00_ ">
                  <c:v>937.5</c:v>
                </c:pt>
                <c:pt idx="208" formatCode="0.00_ ">
                  <c:v>1000</c:v>
                </c:pt>
              </c:numCache>
            </c:numRef>
          </c:xVal>
          <c:yVal>
            <c:numRef>
              <c:f>'dbg30'!$T$11:$T$219</c:f>
              <c:numCache>
                <c:formatCode>0.000_ </c:formatCode>
                <c:ptCount val="20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1.2303384615384616</c:v>
                </c:pt>
                <c:pt idx="133">
                  <c:v>1.3255009276437848</c:v>
                </c:pt>
                <c:pt idx="134">
                  <c:v>1.4141931818181819</c:v>
                </c:pt>
                <c:pt idx="135">
                  <c:v>1.4944444444444445</c:v>
                </c:pt>
                <c:pt idx="136">
                  <c:v>1.5633333333333332</c:v>
                </c:pt>
                <c:pt idx="137">
                  <c:v>1.6675</c:v>
                </c:pt>
                <c:pt idx="138">
                  <c:v>1.7232142857142856</c:v>
                </c:pt>
                <c:pt idx="139">
                  <c:v>1.7434210526315788</c:v>
                </c:pt>
                <c:pt idx="140">
                  <c:v>1.7395833333333333</c:v>
                </c:pt>
                <c:pt idx="141">
                  <c:v>1.7321428571428568</c:v>
                </c:pt>
                <c:pt idx="142">
                  <c:v>1.7107142857142856</c:v>
                </c:pt>
                <c:pt idx="143">
                  <c:v>1.6866197183098592</c:v>
                </c:pt>
                <c:pt idx="144">
                  <c:v>1.6631944444444446</c:v>
                </c:pt>
                <c:pt idx="145">
                  <c:v>1.6404109589041096</c:v>
                </c:pt>
                <c:pt idx="146">
                  <c:v>1.6148648648648649</c:v>
                </c:pt>
                <c:pt idx="147">
                  <c:v>1.5912162162162167</c:v>
                </c:pt>
                <c:pt idx="148">
                  <c:v>1.5448717948717952</c:v>
                </c:pt>
                <c:pt idx="149">
                  <c:v>1.492283950617284</c:v>
                </c:pt>
                <c:pt idx="150">
                  <c:v>1.4446107784431135</c:v>
                </c:pt>
                <c:pt idx="151">
                  <c:v>1.4018691588785046</c:v>
                </c:pt>
                <c:pt idx="152">
                  <c:v>1.3602941176470589</c:v>
                </c:pt>
                <c:pt idx="153">
                  <c:v>1.3243392070484576</c:v>
                </c:pt>
                <c:pt idx="154">
                  <c:v>1.2900641025641022</c:v>
                </c:pt>
                <c:pt idx="155">
                  <c:v>1.2552301255230116</c:v>
                </c:pt>
                <c:pt idx="156">
                  <c:v>1.225198412698413</c:v>
                </c:pt>
                <c:pt idx="157">
                  <c:v>1.1682242990654199</c:v>
                </c:pt>
                <c:pt idx="158">
                  <c:v>1.1140819964349369</c:v>
                </c:pt>
                <c:pt idx="159">
                  <c:v>1.0629251700680271</c:v>
                </c:pt>
                <c:pt idx="160">
                  <c:v>1.0179153094462539</c:v>
                </c:pt>
                <c:pt idx="161">
                  <c:v>0.97503900156006296</c:v>
                </c:pt>
                <c:pt idx="162">
                  <c:v>0.93283582089552297</c:v>
                </c:pt>
                <c:pt idx="163">
                  <c:v>0.87842586085734453</c:v>
                </c:pt>
                <c:pt idx="164">
                  <c:v>0.81433224755700451</c:v>
                </c:pt>
                <c:pt idx="165">
                  <c:v>0.76080340839926919</c:v>
                </c:pt>
                <c:pt idx="166">
                  <c:v>0.715922107674686</c:v>
                </c:pt>
                <c:pt idx="167">
                  <c:v>0.68045726728361444</c:v>
                </c:pt>
                <c:pt idx="168">
                  <c:v>0.64834024896265419</c:v>
                </c:pt>
                <c:pt idx="169">
                  <c:v>0.61728395061728492</c:v>
                </c:pt>
                <c:pt idx="170">
                  <c:v>0.58934464875058978</c:v>
                </c:pt>
                <c:pt idx="171">
                  <c:v>0.56433408577878197</c:v>
                </c:pt>
                <c:pt idx="172">
                  <c:v>0.54182921543129936</c:v>
                </c:pt>
                <c:pt idx="173">
                  <c:v>0.52148518982060921</c:v>
                </c:pt>
                <c:pt idx="174">
                  <c:v>0.49348598499802421</c:v>
                </c:pt>
                <c:pt idx="175">
                  <c:v>0.45687134502924209</c:v>
                </c:pt>
                <c:pt idx="176">
                  <c:v>0.42241146255744866</c:v>
                </c:pt>
                <c:pt idx="177">
                  <c:v>0.39372558901348498</c:v>
                </c:pt>
                <c:pt idx="178">
                  <c:v>0.36938534278959878</c:v>
                </c:pt>
                <c:pt idx="179">
                  <c:v>0.34846119536128128</c:v>
                </c:pt>
                <c:pt idx="180">
                  <c:v>0.33030335059719107</c:v>
                </c:pt>
                <c:pt idx="181">
                  <c:v>0.31435469268684813</c:v>
                </c:pt>
                <c:pt idx="182">
                  <c:v>0.29531279531279608</c:v>
                </c:pt>
                <c:pt idx="183">
                  <c:v>0.28409090909090651</c:v>
                </c:pt>
                <c:pt idx="184">
                  <c:v>0.2604166666666714</c:v>
                </c:pt>
                <c:pt idx="185">
                  <c:v>0.25</c:v>
                </c:pt>
                <c:pt idx="186">
                  <c:v>0.22321428571427759</c:v>
                </c:pt>
                <c:pt idx="187">
                  <c:v>0.22321428571427759</c:v>
                </c:pt>
                <c:pt idx="188">
                  <c:v>0.20833333333334281</c:v>
                </c:pt>
                <c:pt idx="189">
                  <c:v>0.1953125</c:v>
                </c:pt>
                <c:pt idx="190">
                  <c:v>0.18115942028984477</c:v>
                </c:pt>
                <c:pt idx="191">
                  <c:v>0.16891891891890509</c:v>
                </c:pt>
                <c:pt idx="192">
                  <c:v>0.1602564102564088</c:v>
                </c:pt>
                <c:pt idx="193">
                  <c:v>0.15060240963856586</c:v>
                </c:pt>
                <c:pt idx="194">
                  <c:v>0.1470588235293917</c:v>
                </c:pt>
                <c:pt idx="195">
                  <c:v>0.14044943820226763</c:v>
                </c:pt>
                <c:pt idx="196">
                  <c:v>0.13440860215052908</c:v>
                </c:pt>
                <c:pt idx="197">
                  <c:v>0.131578947368439</c:v>
                </c:pt>
                <c:pt idx="198">
                  <c:v>0.12755102040819111</c:v>
                </c:pt>
                <c:pt idx="199">
                  <c:v>0.125</c:v>
                </c:pt>
                <c:pt idx="200">
                  <c:v>0.12019230769232081</c:v>
                </c:pt>
                <c:pt idx="201">
                  <c:v>0.1148897058823195</c:v>
                </c:pt>
                <c:pt idx="202">
                  <c:v>0.11081560283685121</c:v>
                </c:pt>
                <c:pt idx="203">
                  <c:v>0.10702054794523974</c:v>
                </c:pt>
                <c:pt idx="204">
                  <c:v>0.10416666666662877</c:v>
                </c:pt>
                <c:pt idx="205">
                  <c:v>0.10212418300648096</c:v>
                </c:pt>
                <c:pt idx="206">
                  <c:v>9.9840255591061577E-2</c:v>
                </c:pt>
                <c:pt idx="207">
                  <c:v>9.8580441640365279E-2</c:v>
                </c:pt>
                <c:pt idx="208">
                  <c:v>9.7049689440950715E-2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995-4BE7-A1D1-58C3354EF0C6}"/>
            </c:ext>
          </c:extLst>
        </c:ser>
        <c:ser>
          <c:idx val="1"/>
          <c:order val="1"/>
          <c:tx>
            <c:v>ws1 dEu1 stop</c:v>
          </c:tx>
          <c:spPr>
            <a:ln w="12700">
              <a:solidFill>
                <a:srgbClr val="CC66FF"/>
              </a:solidFill>
            </a:ln>
          </c:spPr>
          <c:marker>
            <c:symbol val="circle"/>
            <c:size val="2"/>
            <c:spPr>
              <a:solidFill>
                <a:srgbClr val="CC66FF"/>
              </a:solidFill>
              <a:ln>
                <a:noFill/>
              </a:ln>
            </c:spPr>
          </c:marker>
          <c:xVal>
            <c:numRef>
              <c:f>'dbg30'!$P$11:$P$219</c:f>
              <c:numCache>
                <c:formatCode>0.00000_ </c:formatCode>
                <c:ptCount val="209"/>
                <c:pt idx="0">
                  <c:v>9.9999750000000008E-6</c:v>
                </c:pt>
                <c:pt idx="1">
                  <c:v>1.1249975000000001E-5</c:v>
                </c:pt>
                <c:pt idx="2">
                  <c:v>1.2499975000000001E-5</c:v>
                </c:pt>
                <c:pt idx="3">
                  <c:v>1.3749975E-5</c:v>
                </c:pt>
                <c:pt idx="4">
                  <c:v>1.4999975E-5</c:v>
                </c:pt>
                <c:pt idx="5">
                  <c:v>1.6249975E-5</c:v>
                </c:pt>
                <c:pt idx="6">
                  <c:v>1.7499975E-5</c:v>
                </c:pt>
                <c:pt idx="7">
                  <c:v>1.9999975E-5</c:v>
                </c:pt>
                <c:pt idx="8">
                  <c:v>2.2499975000000003E-5</c:v>
                </c:pt>
                <c:pt idx="9">
                  <c:v>2.4999975000000003E-5</c:v>
                </c:pt>
                <c:pt idx="10">
                  <c:v>2.7500000000000001E-5</c:v>
                </c:pt>
                <c:pt idx="11">
                  <c:v>2.9999999999999997E-5</c:v>
                </c:pt>
                <c:pt idx="12">
                  <c:v>3.2499999999999997E-5</c:v>
                </c:pt>
                <c:pt idx="13">
                  <c:v>3.4999999999999997E-5</c:v>
                </c:pt>
                <c:pt idx="14">
                  <c:v>3.7500000000000003E-5</c:v>
                </c:pt>
                <c:pt idx="15">
                  <c:v>4.0000000000000003E-5</c:v>
                </c:pt>
                <c:pt idx="16">
                  <c:v>4.2499999999999996E-5</c:v>
                </c:pt>
                <c:pt idx="17">
                  <c:v>4.4999999999999996E-5</c:v>
                </c:pt>
                <c:pt idx="18">
                  <c:v>5.0000000000000002E-5</c:v>
                </c:pt>
                <c:pt idx="19">
                  <c:v>5.6249999999999998E-5</c:v>
                </c:pt>
                <c:pt idx="20">
                  <c:v>6.2500000000000001E-5</c:v>
                </c:pt>
                <c:pt idx="21">
                  <c:v>6.8749999999999991E-5</c:v>
                </c:pt>
                <c:pt idx="22">
                  <c:v>7.5000000000000007E-5</c:v>
                </c:pt>
                <c:pt idx="23">
                  <c:v>8.1249999999999996E-5</c:v>
                </c:pt>
                <c:pt idx="24">
                  <c:v>8.7499999999999999E-5</c:v>
                </c:pt>
                <c:pt idx="25">
                  <c:v>9.3750000000000002E-5</c:v>
                </c:pt>
                <c:pt idx="26">
                  <c:v>1E-4</c:v>
                </c:pt>
                <c:pt idx="27">
                  <c:v>1.125E-4</c:v>
                </c:pt>
                <c:pt idx="28">
                  <c:v>1.25E-4</c:v>
                </c:pt>
                <c:pt idx="29">
                  <c:v>1.3749999999999998E-4</c:v>
                </c:pt>
                <c:pt idx="30">
                  <c:v>1.5000000000000001E-4</c:v>
                </c:pt>
                <c:pt idx="31">
                  <c:v>1.6249999999999999E-4</c:v>
                </c:pt>
                <c:pt idx="32">
                  <c:v>1.75E-4</c:v>
                </c:pt>
                <c:pt idx="33">
                  <c:v>2.0000000000000001E-4</c:v>
                </c:pt>
                <c:pt idx="34">
                  <c:v>2.2499999999999999E-4</c:v>
                </c:pt>
                <c:pt idx="35">
                  <c:v>2.5000000000000001E-4</c:v>
                </c:pt>
                <c:pt idx="36">
                  <c:v>2.7499999999999996E-4</c:v>
                </c:pt>
                <c:pt idx="37">
                  <c:v>3.0000000000000003E-4</c:v>
                </c:pt>
                <c:pt idx="38">
                  <c:v>3.2499999999999999E-4</c:v>
                </c:pt>
                <c:pt idx="39">
                  <c:v>3.5E-4</c:v>
                </c:pt>
                <c:pt idx="40">
                  <c:v>3.7500000000000001E-4</c:v>
                </c:pt>
                <c:pt idx="41">
                  <c:v>4.0000000000000002E-4</c:v>
                </c:pt>
                <c:pt idx="42">
                  <c:v>4.2500000000000003E-4</c:v>
                </c:pt>
                <c:pt idx="43">
                  <c:v>4.4999999999999999E-4</c:v>
                </c:pt>
                <c:pt idx="44">
                  <c:v>5.0000000000000001E-4</c:v>
                </c:pt>
                <c:pt idx="45">
                  <c:v>5.6249999999999996E-4</c:v>
                </c:pt>
                <c:pt idx="46">
                  <c:v>6.2500000000000001E-4</c:v>
                </c:pt>
                <c:pt idx="47">
                  <c:v>6.8749999999999996E-4</c:v>
                </c:pt>
                <c:pt idx="48">
                  <c:v>7.5000000000000002E-4</c:v>
                </c:pt>
                <c:pt idx="49">
                  <c:v>8.1250000000000007E-4</c:v>
                </c:pt>
                <c:pt idx="50">
                  <c:v>8.7500000000000013E-4</c:v>
                </c:pt>
                <c:pt idx="51">
                  <c:v>9.3749999999999997E-4</c:v>
                </c:pt>
                <c:pt idx="52">
                  <c:v>1E-3</c:v>
                </c:pt>
                <c:pt idx="53">
                  <c:v>1.1249999999999999E-3</c:v>
                </c:pt>
                <c:pt idx="54">
                  <c:v>1.25E-3</c:v>
                </c:pt>
                <c:pt idx="55">
                  <c:v>1.3749999999999999E-3</c:v>
                </c:pt>
                <c:pt idx="56">
                  <c:v>1.5E-3</c:v>
                </c:pt>
                <c:pt idx="57">
                  <c:v>1.6250000000000001E-3</c:v>
                </c:pt>
                <c:pt idx="58">
                  <c:v>1.7500000000000003E-3</c:v>
                </c:pt>
                <c:pt idx="59">
                  <c:v>2E-3</c:v>
                </c:pt>
                <c:pt idx="60">
                  <c:v>2.2499999999999998E-3</c:v>
                </c:pt>
                <c:pt idx="61">
                  <c:v>2.5000000000000001E-3</c:v>
                </c:pt>
                <c:pt idx="62">
                  <c:v>2.7499999999999998E-3</c:v>
                </c:pt>
                <c:pt idx="63">
                  <c:v>3.0000000000000001E-3</c:v>
                </c:pt>
                <c:pt idx="64">
                  <c:v>3.2500000000000003E-3</c:v>
                </c:pt>
                <c:pt idx="65">
                  <c:v>3.5000000000000005E-3</c:v>
                </c:pt>
                <c:pt idx="66">
                  <c:v>3.7499999999999999E-3</c:v>
                </c:pt>
                <c:pt idx="67">
                  <c:v>4.0000000000000001E-3</c:v>
                </c:pt>
                <c:pt idx="68">
                  <c:v>4.2500000000000003E-3</c:v>
                </c:pt>
                <c:pt idx="69">
                  <c:v>4.4999999999999997E-3</c:v>
                </c:pt>
                <c:pt idx="70">
                  <c:v>5.0000000000000001E-3</c:v>
                </c:pt>
                <c:pt idx="71">
                  <c:v>5.6249999999999998E-3</c:v>
                </c:pt>
                <c:pt idx="72">
                  <c:v>6.2500000000000003E-3</c:v>
                </c:pt>
                <c:pt idx="73">
                  <c:v>6.8750000000000009E-3</c:v>
                </c:pt>
                <c:pt idx="74">
                  <c:v>7.4999999999999997E-3</c:v>
                </c:pt>
                <c:pt idx="75">
                  <c:v>8.1250000000000003E-3</c:v>
                </c:pt>
                <c:pt idx="76">
                  <c:v>8.7499999999999991E-3</c:v>
                </c:pt>
                <c:pt idx="77">
                  <c:v>9.3749999999999997E-3</c:v>
                </c:pt>
                <c:pt idx="78">
                  <c:v>0.01</c:v>
                </c:pt>
                <c:pt idx="79">
                  <c:v>1.125E-2</c:v>
                </c:pt>
                <c:pt idx="80">
                  <c:v>1.2500000000000001E-2</c:v>
                </c:pt>
                <c:pt idx="81">
                  <c:v>1.3750000000000002E-2</c:v>
                </c:pt>
                <c:pt idx="82">
                  <c:v>1.4999999999999999E-2</c:v>
                </c:pt>
                <c:pt idx="83">
                  <c:v>1.6250000000000001E-2</c:v>
                </c:pt>
                <c:pt idx="84">
                  <c:v>1.7499999999999998E-2</c:v>
                </c:pt>
                <c:pt idx="85">
                  <c:v>0.02</c:v>
                </c:pt>
                <c:pt idx="86">
                  <c:v>2.2499999999999999E-2</c:v>
                </c:pt>
                <c:pt idx="87">
                  <c:v>2.5000000000000001E-2</c:v>
                </c:pt>
                <c:pt idx="88">
                  <c:v>2.7500000000000004E-2</c:v>
                </c:pt>
                <c:pt idx="89">
                  <c:v>0.03</c:v>
                </c:pt>
                <c:pt idx="90">
                  <c:v>3.2500000000000001E-2</c:v>
                </c:pt>
                <c:pt idx="91">
                  <c:v>3.4999999999999996E-2</c:v>
                </c:pt>
                <c:pt idx="92">
                  <c:v>3.7499999999999999E-2</c:v>
                </c:pt>
                <c:pt idx="93">
                  <c:v>0.04</c:v>
                </c:pt>
                <c:pt idx="94">
                  <c:v>4.2499999999999996E-2</c:v>
                </c:pt>
                <c:pt idx="95">
                  <c:v>4.4999999999999998E-2</c:v>
                </c:pt>
                <c:pt idx="96">
                  <c:v>0.05</c:v>
                </c:pt>
                <c:pt idx="97">
                  <c:v>5.6250000000000001E-2</c:v>
                </c:pt>
                <c:pt idx="98">
                  <c:v>6.25E-2</c:v>
                </c:pt>
                <c:pt idx="99">
                  <c:v>6.8750000000000006E-2</c:v>
                </c:pt>
                <c:pt idx="100">
                  <c:v>7.4999999999999997E-2</c:v>
                </c:pt>
                <c:pt idx="101">
                  <c:v>8.1250000000000003E-2</c:v>
                </c:pt>
                <c:pt idx="102">
                  <c:v>8.7499999999999994E-2</c:v>
                </c:pt>
                <c:pt idx="103">
                  <c:v>9.375E-2</c:v>
                </c:pt>
                <c:pt idx="104">
                  <c:v>0.1</c:v>
                </c:pt>
                <c:pt idx="105">
                  <c:v>0.1125</c:v>
                </c:pt>
                <c:pt idx="106">
                  <c:v>0.125</c:v>
                </c:pt>
                <c:pt idx="107">
                  <c:v>0.13750000000000001</c:v>
                </c:pt>
                <c:pt idx="108">
                  <c:v>0.15</c:v>
                </c:pt>
                <c:pt idx="109">
                  <c:v>0.16250000000000001</c:v>
                </c:pt>
                <c:pt idx="110">
                  <c:v>0.17499999999999999</c:v>
                </c:pt>
                <c:pt idx="111">
                  <c:v>0.2</c:v>
                </c:pt>
                <c:pt idx="112">
                  <c:v>0.22500000000000001</c:v>
                </c:pt>
                <c:pt idx="113">
                  <c:v>0.25</c:v>
                </c:pt>
                <c:pt idx="114">
                  <c:v>0.27500000000000002</c:v>
                </c:pt>
                <c:pt idx="115">
                  <c:v>0.3</c:v>
                </c:pt>
                <c:pt idx="116">
                  <c:v>0.32500000000000001</c:v>
                </c:pt>
                <c:pt idx="117">
                  <c:v>0.35</c:v>
                </c:pt>
                <c:pt idx="118">
                  <c:v>0.375</c:v>
                </c:pt>
                <c:pt idx="119">
                  <c:v>0.4</c:v>
                </c:pt>
                <c:pt idx="120">
                  <c:v>0.42499999999999999</c:v>
                </c:pt>
                <c:pt idx="121">
                  <c:v>0.45</c:v>
                </c:pt>
                <c:pt idx="122">
                  <c:v>0.5</c:v>
                </c:pt>
                <c:pt idx="123">
                  <c:v>0.5625</c:v>
                </c:pt>
                <c:pt idx="124">
                  <c:v>0.625</c:v>
                </c:pt>
                <c:pt idx="125">
                  <c:v>0.6875</c:v>
                </c:pt>
                <c:pt idx="126">
                  <c:v>0.75</c:v>
                </c:pt>
                <c:pt idx="127">
                  <c:v>0.8125</c:v>
                </c:pt>
                <c:pt idx="128">
                  <c:v>0.875</c:v>
                </c:pt>
                <c:pt idx="129">
                  <c:v>0.9375</c:v>
                </c:pt>
                <c:pt idx="130" formatCode="0.000_ ">
                  <c:v>1</c:v>
                </c:pt>
                <c:pt idx="131" formatCode="0.000_ ">
                  <c:v>1.125</c:v>
                </c:pt>
                <c:pt idx="132" formatCode="0.000_ ">
                  <c:v>1.25</c:v>
                </c:pt>
                <c:pt idx="133" formatCode="0.000_ ">
                  <c:v>1.375</c:v>
                </c:pt>
                <c:pt idx="134" formatCode="0.000_ ">
                  <c:v>1.5</c:v>
                </c:pt>
                <c:pt idx="135" formatCode="0.000_ ">
                  <c:v>1.625</c:v>
                </c:pt>
                <c:pt idx="136" formatCode="0.000_ ">
                  <c:v>1.75</c:v>
                </c:pt>
                <c:pt idx="137" formatCode="0.000_ ">
                  <c:v>2</c:v>
                </c:pt>
                <c:pt idx="138" formatCode="0.000_ ">
                  <c:v>2.25</c:v>
                </c:pt>
                <c:pt idx="139" formatCode="0.000_ ">
                  <c:v>2.5</c:v>
                </c:pt>
                <c:pt idx="140" formatCode="0.000_ ">
                  <c:v>2.75</c:v>
                </c:pt>
                <c:pt idx="141" formatCode="0.000_ ">
                  <c:v>3</c:v>
                </c:pt>
                <c:pt idx="142" formatCode="0.000_ ">
                  <c:v>3.25</c:v>
                </c:pt>
                <c:pt idx="143" formatCode="0.000_ ">
                  <c:v>3.5</c:v>
                </c:pt>
                <c:pt idx="144" formatCode="0.000_ ">
                  <c:v>3.75</c:v>
                </c:pt>
                <c:pt idx="145" formatCode="0.000_ ">
                  <c:v>4</c:v>
                </c:pt>
                <c:pt idx="146" formatCode="0.000_ ">
                  <c:v>4.25</c:v>
                </c:pt>
                <c:pt idx="147" formatCode="0.000_ ">
                  <c:v>4.5</c:v>
                </c:pt>
                <c:pt idx="148" formatCode="0.000_ ">
                  <c:v>5</c:v>
                </c:pt>
                <c:pt idx="149" formatCode="0.000_ ">
                  <c:v>5.625</c:v>
                </c:pt>
                <c:pt idx="150" formatCode="0.000_ ">
                  <c:v>6.25</c:v>
                </c:pt>
                <c:pt idx="151" formatCode="0.000_ ">
                  <c:v>6.875</c:v>
                </c:pt>
                <c:pt idx="152" formatCode="0.000_ ">
                  <c:v>7.5</c:v>
                </c:pt>
                <c:pt idx="153" formatCode="0.000_ ">
                  <c:v>8.125</c:v>
                </c:pt>
                <c:pt idx="154" formatCode="0.000_ ">
                  <c:v>8.75</c:v>
                </c:pt>
                <c:pt idx="155" formatCode="0.000_ ">
                  <c:v>9.375</c:v>
                </c:pt>
                <c:pt idx="156" formatCode="0.000_ ">
                  <c:v>10</c:v>
                </c:pt>
                <c:pt idx="157" formatCode="0.000_ ">
                  <c:v>11.25</c:v>
                </c:pt>
                <c:pt idx="158" formatCode="0.000_ ">
                  <c:v>12.5</c:v>
                </c:pt>
                <c:pt idx="159" formatCode="0.000_ ">
                  <c:v>13.75</c:v>
                </c:pt>
                <c:pt idx="160" formatCode="0.000_ ">
                  <c:v>15</c:v>
                </c:pt>
                <c:pt idx="161" formatCode="0.000_ ">
                  <c:v>16.25</c:v>
                </c:pt>
                <c:pt idx="162" formatCode="0.000_ ">
                  <c:v>17.5</c:v>
                </c:pt>
                <c:pt idx="163" formatCode="0.000_ ">
                  <c:v>20</c:v>
                </c:pt>
                <c:pt idx="164" formatCode="0.000_ ">
                  <c:v>22.5</c:v>
                </c:pt>
                <c:pt idx="165" formatCode="0.000_ ">
                  <c:v>25</c:v>
                </c:pt>
                <c:pt idx="166" formatCode="0.000_ ">
                  <c:v>27.5</c:v>
                </c:pt>
                <c:pt idx="167" formatCode="0.000_ ">
                  <c:v>30</c:v>
                </c:pt>
                <c:pt idx="168" formatCode="0.000_ ">
                  <c:v>32.5</c:v>
                </c:pt>
                <c:pt idx="169" formatCode="0.000_ ">
                  <c:v>35</c:v>
                </c:pt>
                <c:pt idx="170" formatCode="0.000_ ">
                  <c:v>37.5</c:v>
                </c:pt>
                <c:pt idx="171" formatCode="0.000_ ">
                  <c:v>40</c:v>
                </c:pt>
                <c:pt idx="172" formatCode="0.000_ ">
                  <c:v>42.5</c:v>
                </c:pt>
                <c:pt idx="173" formatCode="0.000_ ">
                  <c:v>45</c:v>
                </c:pt>
                <c:pt idx="174" formatCode="0.000_ ">
                  <c:v>50</c:v>
                </c:pt>
                <c:pt idx="175" formatCode="0.000_ ">
                  <c:v>56.25</c:v>
                </c:pt>
                <c:pt idx="176" formatCode="0.000_ ">
                  <c:v>62.5</c:v>
                </c:pt>
                <c:pt idx="177" formatCode="0.000_ ">
                  <c:v>68.75</c:v>
                </c:pt>
                <c:pt idx="178" formatCode="0.000_ ">
                  <c:v>75</c:v>
                </c:pt>
                <c:pt idx="179" formatCode="0.000_ ">
                  <c:v>81.25</c:v>
                </c:pt>
                <c:pt idx="180" formatCode="0.000_ ">
                  <c:v>87.5</c:v>
                </c:pt>
                <c:pt idx="181" formatCode="0.000_ ">
                  <c:v>93.75</c:v>
                </c:pt>
                <c:pt idx="182" formatCode="0.00_ ">
                  <c:v>100</c:v>
                </c:pt>
                <c:pt idx="183" formatCode="0.00_ ">
                  <c:v>112.5</c:v>
                </c:pt>
                <c:pt idx="184" formatCode="0.00_ ">
                  <c:v>125</c:v>
                </c:pt>
                <c:pt idx="185" formatCode="0.00_ ">
                  <c:v>137.5</c:v>
                </c:pt>
                <c:pt idx="186" formatCode="0.00_ ">
                  <c:v>150</c:v>
                </c:pt>
                <c:pt idx="187" formatCode="0.00_ ">
                  <c:v>162.5</c:v>
                </c:pt>
                <c:pt idx="188" formatCode="0.00_ ">
                  <c:v>175</c:v>
                </c:pt>
                <c:pt idx="189" formatCode="0.00_ ">
                  <c:v>200</c:v>
                </c:pt>
                <c:pt idx="190" formatCode="0.00_ ">
                  <c:v>225</c:v>
                </c:pt>
                <c:pt idx="191" formatCode="0.00_ ">
                  <c:v>250</c:v>
                </c:pt>
                <c:pt idx="192" formatCode="0.00_ ">
                  <c:v>275</c:v>
                </c:pt>
                <c:pt idx="193" formatCode="0.00_ ">
                  <c:v>300</c:v>
                </c:pt>
                <c:pt idx="194" formatCode="0.00_ ">
                  <c:v>325</c:v>
                </c:pt>
                <c:pt idx="195" formatCode="0.00_ ">
                  <c:v>350</c:v>
                </c:pt>
                <c:pt idx="196" formatCode="0.00_ ">
                  <c:v>375</c:v>
                </c:pt>
                <c:pt idx="197" formatCode="0.00_ ">
                  <c:v>400</c:v>
                </c:pt>
                <c:pt idx="198" formatCode="0.00_ ">
                  <c:v>425</c:v>
                </c:pt>
                <c:pt idx="199" formatCode="0.00_ ">
                  <c:v>450</c:v>
                </c:pt>
                <c:pt idx="200" formatCode="0.00_ ">
                  <c:v>500</c:v>
                </c:pt>
                <c:pt idx="201" formatCode="0.00_ ">
                  <c:v>562.5</c:v>
                </c:pt>
                <c:pt idx="202" formatCode="0.00_ ">
                  <c:v>625</c:v>
                </c:pt>
                <c:pt idx="203" formatCode="0.00_ ">
                  <c:v>687.5</c:v>
                </c:pt>
                <c:pt idx="204" formatCode="0.00_ ">
                  <c:v>750</c:v>
                </c:pt>
                <c:pt idx="205" formatCode="0.00_ ">
                  <c:v>812.5</c:v>
                </c:pt>
                <c:pt idx="206" formatCode="0.00_ ">
                  <c:v>875</c:v>
                </c:pt>
                <c:pt idx="207" formatCode="0.00_ ">
                  <c:v>937.5</c:v>
                </c:pt>
                <c:pt idx="208" formatCode="0.00_ ">
                  <c:v>1000</c:v>
                </c:pt>
              </c:numCache>
            </c:numRef>
          </c:xVal>
          <c:yVal>
            <c:numRef>
              <c:f>'dbg30'!$U$11:$U$219</c:f>
              <c:numCache>
                <c:formatCode>0.000_ </c:formatCode>
                <c:ptCount val="209"/>
                <c:pt idx="0">
                  <c:v>9.9999750000000008E-6</c:v>
                </c:pt>
                <c:pt idx="1">
                  <c:v>1.1249975000000001E-5</c:v>
                </c:pt>
                <c:pt idx="2">
                  <c:v>1.2499975000000001E-5</c:v>
                </c:pt>
                <c:pt idx="3">
                  <c:v>1.3749975E-5</c:v>
                </c:pt>
                <c:pt idx="4">
                  <c:v>1.4999975E-5</c:v>
                </c:pt>
                <c:pt idx="5">
                  <c:v>1.6249975E-5</c:v>
                </c:pt>
                <c:pt idx="6">
                  <c:v>1.7499975E-5</c:v>
                </c:pt>
                <c:pt idx="7">
                  <c:v>1.9999975E-5</c:v>
                </c:pt>
                <c:pt idx="8">
                  <c:v>2.2499975000000003E-5</c:v>
                </c:pt>
                <c:pt idx="9">
                  <c:v>2.4999975000000003E-5</c:v>
                </c:pt>
                <c:pt idx="10">
                  <c:v>2.7500000000000001E-5</c:v>
                </c:pt>
                <c:pt idx="11">
                  <c:v>2.9999999999999997E-5</c:v>
                </c:pt>
                <c:pt idx="12">
                  <c:v>3.2499999999999997E-5</c:v>
                </c:pt>
                <c:pt idx="13">
                  <c:v>3.4999999999999997E-5</c:v>
                </c:pt>
                <c:pt idx="14">
                  <c:v>3.7500000000000003E-5</c:v>
                </c:pt>
                <c:pt idx="15">
                  <c:v>4.0000000000000003E-5</c:v>
                </c:pt>
                <c:pt idx="16">
                  <c:v>4.2499999999999996E-5</c:v>
                </c:pt>
                <c:pt idx="17">
                  <c:v>4.4999999999999996E-5</c:v>
                </c:pt>
                <c:pt idx="18">
                  <c:v>5.0000000000000002E-5</c:v>
                </c:pt>
                <c:pt idx="19">
                  <c:v>5.6249999999999998E-5</c:v>
                </c:pt>
                <c:pt idx="20">
                  <c:v>6.2500000000000001E-5</c:v>
                </c:pt>
                <c:pt idx="21">
                  <c:v>6.8749999999999991E-5</c:v>
                </c:pt>
                <c:pt idx="22">
                  <c:v>7.5000000000000007E-5</c:v>
                </c:pt>
                <c:pt idx="23">
                  <c:v>8.1249999999999996E-5</c:v>
                </c:pt>
                <c:pt idx="24">
                  <c:v>8.7499999999999999E-5</c:v>
                </c:pt>
                <c:pt idx="25">
                  <c:v>9.3750000000000002E-5</c:v>
                </c:pt>
                <c:pt idx="26">
                  <c:v>1E-4</c:v>
                </c:pt>
                <c:pt idx="27">
                  <c:v>1.125E-4</c:v>
                </c:pt>
                <c:pt idx="28">
                  <c:v>1.25E-4</c:v>
                </c:pt>
                <c:pt idx="29">
                  <c:v>1.3749999999999998E-4</c:v>
                </c:pt>
                <c:pt idx="30">
                  <c:v>1.5000000000000001E-4</c:v>
                </c:pt>
                <c:pt idx="31">
                  <c:v>1.6249999999999999E-4</c:v>
                </c:pt>
                <c:pt idx="32">
                  <c:v>1.75E-4</c:v>
                </c:pt>
                <c:pt idx="33">
                  <c:v>2.0000000000000001E-4</c:v>
                </c:pt>
                <c:pt idx="34">
                  <c:v>2.2499999999999999E-4</c:v>
                </c:pt>
                <c:pt idx="35">
                  <c:v>2.5000000000000001E-4</c:v>
                </c:pt>
                <c:pt idx="36">
                  <c:v>2.7499999999999996E-4</c:v>
                </c:pt>
                <c:pt idx="37">
                  <c:v>3.0000000000000003E-4</c:v>
                </c:pt>
                <c:pt idx="38">
                  <c:v>3.2499999999999999E-4</c:v>
                </c:pt>
                <c:pt idx="39">
                  <c:v>3.5E-4</c:v>
                </c:pt>
                <c:pt idx="40">
                  <c:v>3.7500000000000001E-4</c:v>
                </c:pt>
                <c:pt idx="41">
                  <c:v>4.0000000000000002E-4</c:v>
                </c:pt>
                <c:pt idx="42">
                  <c:v>4.2500000000000003E-4</c:v>
                </c:pt>
                <c:pt idx="43">
                  <c:v>4.4999999999999999E-4</c:v>
                </c:pt>
                <c:pt idx="44">
                  <c:v>5.0000000000000001E-4</c:v>
                </c:pt>
                <c:pt idx="45">
                  <c:v>5.6249999999999996E-4</c:v>
                </c:pt>
                <c:pt idx="46">
                  <c:v>6.2500000000000001E-4</c:v>
                </c:pt>
                <c:pt idx="47">
                  <c:v>6.8749999999999996E-4</c:v>
                </c:pt>
                <c:pt idx="48">
                  <c:v>7.5000000000000002E-4</c:v>
                </c:pt>
                <c:pt idx="49">
                  <c:v>8.1250000000000007E-4</c:v>
                </c:pt>
                <c:pt idx="50">
                  <c:v>8.7500000000000013E-4</c:v>
                </c:pt>
                <c:pt idx="51">
                  <c:v>9.3749999999999997E-4</c:v>
                </c:pt>
                <c:pt idx="52">
                  <c:v>1E-3</c:v>
                </c:pt>
                <c:pt idx="53">
                  <c:v>1.1249999999999999E-3</c:v>
                </c:pt>
                <c:pt idx="54">
                  <c:v>1.25E-3</c:v>
                </c:pt>
                <c:pt idx="55">
                  <c:v>1.3749999999999999E-3</c:v>
                </c:pt>
                <c:pt idx="56">
                  <c:v>1.5E-3</c:v>
                </c:pt>
                <c:pt idx="57">
                  <c:v>1.6250000000000001E-3</c:v>
                </c:pt>
                <c:pt idx="58">
                  <c:v>1.7500000000000003E-3</c:v>
                </c:pt>
                <c:pt idx="59">
                  <c:v>2E-3</c:v>
                </c:pt>
                <c:pt idx="60">
                  <c:v>2.2499999999999998E-3</c:v>
                </c:pt>
                <c:pt idx="61">
                  <c:v>2.5000000000000001E-3</c:v>
                </c:pt>
                <c:pt idx="62">
                  <c:v>2.7499999999999998E-3</c:v>
                </c:pt>
                <c:pt idx="63">
                  <c:v>3.0000000000000001E-3</c:v>
                </c:pt>
                <c:pt idx="64">
                  <c:v>3.2500000000000003E-3</c:v>
                </c:pt>
                <c:pt idx="65">
                  <c:v>3.5000000000000005E-3</c:v>
                </c:pt>
                <c:pt idx="66">
                  <c:v>3.7499999999999999E-3</c:v>
                </c:pt>
                <c:pt idx="67">
                  <c:v>4.0000000000000001E-3</c:v>
                </c:pt>
                <c:pt idx="68">
                  <c:v>4.2500000000000003E-3</c:v>
                </c:pt>
                <c:pt idx="69">
                  <c:v>4.4999999999999997E-3</c:v>
                </c:pt>
                <c:pt idx="70">
                  <c:v>5.0000000000000001E-3</c:v>
                </c:pt>
                <c:pt idx="71">
                  <c:v>5.6249999999999998E-3</c:v>
                </c:pt>
                <c:pt idx="72">
                  <c:v>6.2500000000000003E-3</c:v>
                </c:pt>
                <c:pt idx="73">
                  <c:v>6.8750000000000009E-3</c:v>
                </c:pt>
                <c:pt idx="74">
                  <c:v>7.4999999999999997E-3</c:v>
                </c:pt>
                <c:pt idx="75">
                  <c:v>8.1250000000000003E-3</c:v>
                </c:pt>
                <c:pt idx="76">
                  <c:v>8.7499999999999991E-3</c:v>
                </c:pt>
                <c:pt idx="77">
                  <c:v>9.3749999999999997E-3</c:v>
                </c:pt>
                <c:pt idx="78">
                  <c:v>0.01</c:v>
                </c:pt>
                <c:pt idx="79">
                  <c:v>1.125E-2</c:v>
                </c:pt>
                <c:pt idx="80">
                  <c:v>1.2500000000000001E-2</c:v>
                </c:pt>
                <c:pt idx="81">
                  <c:v>1.3750000000000002E-2</c:v>
                </c:pt>
                <c:pt idx="82">
                  <c:v>1.4999999999999999E-2</c:v>
                </c:pt>
                <c:pt idx="83">
                  <c:v>1.6250000000000001E-2</c:v>
                </c:pt>
                <c:pt idx="84">
                  <c:v>1.7499999999999998E-2</c:v>
                </c:pt>
                <c:pt idx="85">
                  <c:v>0.02</c:v>
                </c:pt>
                <c:pt idx="86">
                  <c:v>2.2499999999999999E-2</c:v>
                </c:pt>
                <c:pt idx="87">
                  <c:v>2.5000000000000001E-2</c:v>
                </c:pt>
                <c:pt idx="88">
                  <c:v>2.7500000000000004E-2</c:v>
                </c:pt>
                <c:pt idx="89">
                  <c:v>0.03</c:v>
                </c:pt>
                <c:pt idx="90">
                  <c:v>3.2500000000000001E-2</c:v>
                </c:pt>
                <c:pt idx="91">
                  <c:v>3.4999999999999996E-2</c:v>
                </c:pt>
                <c:pt idx="92">
                  <c:v>3.7499999999999999E-2</c:v>
                </c:pt>
                <c:pt idx="93">
                  <c:v>0.04</c:v>
                </c:pt>
                <c:pt idx="94">
                  <c:v>4.2499999999999996E-2</c:v>
                </c:pt>
                <c:pt idx="95">
                  <c:v>4.4999999999999998E-2</c:v>
                </c:pt>
                <c:pt idx="96">
                  <c:v>0.05</c:v>
                </c:pt>
                <c:pt idx="97">
                  <c:v>5.6250000000000001E-2</c:v>
                </c:pt>
                <c:pt idx="98">
                  <c:v>6.25E-2</c:v>
                </c:pt>
                <c:pt idx="99">
                  <c:v>6.8750000000000006E-2</c:v>
                </c:pt>
                <c:pt idx="100">
                  <c:v>7.4999999999999997E-2</c:v>
                </c:pt>
                <c:pt idx="101">
                  <c:v>8.1250000000000003E-2</c:v>
                </c:pt>
                <c:pt idx="102">
                  <c:v>8.7499999999999994E-2</c:v>
                </c:pt>
                <c:pt idx="103">
                  <c:v>9.375E-2</c:v>
                </c:pt>
                <c:pt idx="104">
                  <c:v>0.1</c:v>
                </c:pt>
                <c:pt idx="105">
                  <c:v>0.1125</c:v>
                </c:pt>
                <c:pt idx="106">
                  <c:v>0.125</c:v>
                </c:pt>
                <c:pt idx="107">
                  <c:v>0.13750000000000001</c:v>
                </c:pt>
                <c:pt idx="108">
                  <c:v>0.15</c:v>
                </c:pt>
                <c:pt idx="109">
                  <c:v>0.16250000000000001</c:v>
                </c:pt>
                <c:pt idx="110">
                  <c:v>0.17499999999999999</c:v>
                </c:pt>
                <c:pt idx="111">
                  <c:v>0.2</c:v>
                </c:pt>
                <c:pt idx="112">
                  <c:v>0.22500000000000001</c:v>
                </c:pt>
                <c:pt idx="113">
                  <c:v>0.25</c:v>
                </c:pt>
                <c:pt idx="114">
                  <c:v>0.27500000000000002</c:v>
                </c:pt>
                <c:pt idx="115">
                  <c:v>0.3</c:v>
                </c:pt>
                <c:pt idx="116">
                  <c:v>0.32500000000000001</c:v>
                </c:pt>
                <c:pt idx="117">
                  <c:v>0.35</c:v>
                </c:pt>
                <c:pt idx="118">
                  <c:v>0.375</c:v>
                </c:pt>
                <c:pt idx="119">
                  <c:v>0.4</c:v>
                </c:pt>
                <c:pt idx="120">
                  <c:v>0.42499999999999999</c:v>
                </c:pt>
                <c:pt idx="121">
                  <c:v>0.45</c:v>
                </c:pt>
                <c:pt idx="122">
                  <c:v>0.5</c:v>
                </c:pt>
                <c:pt idx="123">
                  <c:v>0.5625</c:v>
                </c:pt>
                <c:pt idx="124">
                  <c:v>0.625</c:v>
                </c:pt>
                <c:pt idx="125">
                  <c:v>0.6875</c:v>
                </c:pt>
                <c:pt idx="126">
                  <c:v>0.75</c:v>
                </c:pt>
                <c:pt idx="127">
                  <c:v>0.8125</c:v>
                </c:pt>
                <c:pt idx="128">
                  <c:v>0.875</c:v>
                </c:pt>
                <c:pt idx="129">
                  <c:v>0.9375</c:v>
                </c:pt>
                <c:pt idx="130">
                  <c:v>1</c:v>
                </c:pt>
                <c:pt idx="131">
                  <c:v>1.125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995-4BE7-A1D1-58C3354EF0C6}"/>
            </c:ext>
          </c:extLst>
        </c:ser>
        <c:ser>
          <c:idx val="3"/>
          <c:order val="2"/>
          <c:tx>
            <c:v>ws2 dEu2</c:v>
          </c:tx>
          <c:spPr>
            <a:ln w="12700">
              <a:solidFill>
                <a:srgbClr val="0000FF"/>
              </a:solidFill>
            </a:ln>
          </c:spPr>
          <c:marker>
            <c:symbol val="triangle"/>
            <c:size val="3"/>
            <c:spPr>
              <a:noFill/>
              <a:ln>
                <a:solidFill>
                  <a:srgbClr val="0000FF"/>
                </a:solidFill>
              </a:ln>
            </c:spPr>
          </c:marker>
          <c:xVal>
            <c:numRef>
              <c:f>'dbg30'!$Z$11:$Z$219</c:f>
              <c:numCache>
                <c:formatCode>0.00000_ </c:formatCode>
                <c:ptCount val="209"/>
                <c:pt idx="0">
                  <c:v>1.071427380952381E-5</c:v>
                </c:pt>
                <c:pt idx="1">
                  <c:v>1.1904750000000002E-5</c:v>
                </c:pt>
                <c:pt idx="2">
                  <c:v>1.3095238095238096E-5</c:v>
                </c:pt>
                <c:pt idx="3">
                  <c:v>1.4285714285714284E-5</c:v>
                </c:pt>
                <c:pt idx="4">
                  <c:v>1.5476190476190476E-5</c:v>
                </c:pt>
                <c:pt idx="5">
                  <c:v>1.6666666666666667E-5</c:v>
                </c:pt>
                <c:pt idx="6">
                  <c:v>1.7857142857142858E-5</c:v>
                </c:pt>
                <c:pt idx="7">
                  <c:v>1.9047619047619049E-5</c:v>
                </c:pt>
                <c:pt idx="8">
                  <c:v>2.0238095238095237E-5</c:v>
                </c:pt>
                <c:pt idx="9">
                  <c:v>2.1428571428571428E-5</c:v>
                </c:pt>
                <c:pt idx="10">
                  <c:v>2.380952380952381E-5</c:v>
                </c:pt>
                <c:pt idx="11">
                  <c:v>2.6785714285714284E-5</c:v>
                </c:pt>
                <c:pt idx="12">
                  <c:v>2.9761904761904762E-5</c:v>
                </c:pt>
                <c:pt idx="13">
                  <c:v>3.2738095238095239E-5</c:v>
                </c:pt>
                <c:pt idx="14">
                  <c:v>3.5714285714285717E-5</c:v>
                </c:pt>
                <c:pt idx="15">
                  <c:v>3.8690476190476188E-5</c:v>
                </c:pt>
                <c:pt idx="16">
                  <c:v>4.1666666666666665E-5</c:v>
                </c:pt>
                <c:pt idx="17">
                  <c:v>4.4642857142857143E-5</c:v>
                </c:pt>
                <c:pt idx="18">
                  <c:v>4.761904761904762E-5</c:v>
                </c:pt>
                <c:pt idx="19">
                  <c:v>5.3571428571428569E-5</c:v>
                </c:pt>
                <c:pt idx="20">
                  <c:v>5.9523809523809524E-5</c:v>
                </c:pt>
                <c:pt idx="21">
                  <c:v>6.5476190476190479E-5</c:v>
                </c:pt>
                <c:pt idx="22">
                  <c:v>7.1428571428571434E-5</c:v>
                </c:pt>
                <c:pt idx="23">
                  <c:v>7.7380952380952375E-5</c:v>
                </c:pt>
                <c:pt idx="24">
                  <c:v>8.3333333333333331E-5</c:v>
                </c:pt>
                <c:pt idx="25">
                  <c:v>9.5238095238095241E-5</c:v>
                </c:pt>
                <c:pt idx="26">
                  <c:v>1.0714285714285714E-4</c:v>
                </c:pt>
                <c:pt idx="27">
                  <c:v>1.1904761904761905E-4</c:v>
                </c:pt>
                <c:pt idx="28">
                  <c:v>1.3095238095238096E-4</c:v>
                </c:pt>
                <c:pt idx="29">
                  <c:v>1.4285714285714287E-4</c:v>
                </c:pt>
                <c:pt idx="30">
                  <c:v>1.5476190476190475E-4</c:v>
                </c:pt>
                <c:pt idx="31">
                  <c:v>1.6666666666666666E-4</c:v>
                </c:pt>
                <c:pt idx="32">
                  <c:v>1.7857142857142857E-4</c:v>
                </c:pt>
                <c:pt idx="33">
                  <c:v>1.9047619047619048E-4</c:v>
                </c:pt>
                <c:pt idx="34">
                  <c:v>2.0238095238095239E-4</c:v>
                </c:pt>
                <c:pt idx="35">
                  <c:v>2.1428571428571427E-4</c:v>
                </c:pt>
                <c:pt idx="36">
                  <c:v>2.380952380952381E-4</c:v>
                </c:pt>
                <c:pt idx="37">
                  <c:v>2.6785714285714287E-4</c:v>
                </c:pt>
                <c:pt idx="38">
                  <c:v>2.9761904761904765E-4</c:v>
                </c:pt>
                <c:pt idx="39">
                  <c:v>3.2738095238095237E-4</c:v>
                </c:pt>
                <c:pt idx="40">
                  <c:v>3.5714285714285714E-4</c:v>
                </c:pt>
                <c:pt idx="41">
                  <c:v>3.8690476190476192E-4</c:v>
                </c:pt>
                <c:pt idx="42">
                  <c:v>4.1666666666666669E-4</c:v>
                </c:pt>
                <c:pt idx="43">
                  <c:v>4.4642857142857141E-4</c:v>
                </c:pt>
                <c:pt idx="44">
                  <c:v>4.7619047619047619E-4</c:v>
                </c:pt>
                <c:pt idx="45">
                  <c:v>5.3571428571428574E-4</c:v>
                </c:pt>
                <c:pt idx="46">
                  <c:v>5.9523809523809529E-4</c:v>
                </c:pt>
                <c:pt idx="47">
                  <c:v>6.5476190476190473E-4</c:v>
                </c:pt>
                <c:pt idx="48">
                  <c:v>7.1428571428571429E-4</c:v>
                </c:pt>
                <c:pt idx="49">
                  <c:v>7.7380952380952384E-4</c:v>
                </c:pt>
                <c:pt idx="50">
                  <c:v>8.3333333333333339E-4</c:v>
                </c:pt>
                <c:pt idx="51">
                  <c:v>9.5238095238095238E-4</c:v>
                </c:pt>
                <c:pt idx="52">
                  <c:v>1.0714285714285715E-3</c:v>
                </c:pt>
                <c:pt idx="53">
                  <c:v>1.1904761904761906E-3</c:v>
                </c:pt>
                <c:pt idx="54">
                  <c:v>1.3095238095238095E-3</c:v>
                </c:pt>
                <c:pt idx="55">
                  <c:v>1.4285714285714286E-3</c:v>
                </c:pt>
                <c:pt idx="56">
                  <c:v>1.5476190476190477E-3</c:v>
                </c:pt>
                <c:pt idx="57">
                  <c:v>1.6666666666666668E-3</c:v>
                </c:pt>
                <c:pt idx="58">
                  <c:v>1.7857142857142857E-3</c:v>
                </c:pt>
                <c:pt idx="59">
                  <c:v>1.9047619047619048E-3</c:v>
                </c:pt>
                <c:pt idx="60">
                  <c:v>2.0238095238095241E-3</c:v>
                </c:pt>
                <c:pt idx="61">
                  <c:v>2.142857142857143E-3</c:v>
                </c:pt>
                <c:pt idx="62">
                  <c:v>2.3809523809523812E-3</c:v>
                </c:pt>
                <c:pt idx="63">
                  <c:v>2.6785714285714286E-3</c:v>
                </c:pt>
                <c:pt idx="64">
                  <c:v>2.976190476190476E-3</c:v>
                </c:pt>
                <c:pt idx="65">
                  <c:v>3.2738095238095239E-3</c:v>
                </c:pt>
                <c:pt idx="66">
                  <c:v>3.5714285714285713E-3</c:v>
                </c:pt>
                <c:pt idx="67">
                  <c:v>3.8690476190476192E-3</c:v>
                </c:pt>
                <c:pt idx="68">
                  <c:v>4.1666666666666666E-3</c:v>
                </c:pt>
                <c:pt idx="69">
                  <c:v>4.464285714285714E-3</c:v>
                </c:pt>
                <c:pt idx="70">
                  <c:v>4.7619047619047623E-3</c:v>
                </c:pt>
                <c:pt idx="71">
                  <c:v>5.3571428571428572E-3</c:v>
                </c:pt>
                <c:pt idx="72">
                  <c:v>5.9523809523809521E-3</c:v>
                </c:pt>
                <c:pt idx="73">
                  <c:v>6.5476190476190478E-3</c:v>
                </c:pt>
                <c:pt idx="74">
                  <c:v>7.1428571428571426E-3</c:v>
                </c:pt>
                <c:pt idx="75">
                  <c:v>7.7380952380952384E-3</c:v>
                </c:pt>
                <c:pt idx="76">
                  <c:v>8.3333333333333332E-3</c:v>
                </c:pt>
                <c:pt idx="77">
                  <c:v>9.5238095238095247E-3</c:v>
                </c:pt>
                <c:pt idx="78">
                  <c:v>1.0714285714285714E-2</c:v>
                </c:pt>
                <c:pt idx="79">
                  <c:v>1.1904761904761904E-2</c:v>
                </c:pt>
                <c:pt idx="80">
                  <c:v>1.3095238095238096E-2</c:v>
                </c:pt>
                <c:pt idx="81">
                  <c:v>1.4285714285714285E-2</c:v>
                </c:pt>
                <c:pt idx="82">
                  <c:v>1.5476190476190477E-2</c:v>
                </c:pt>
                <c:pt idx="83">
                  <c:v>1.6666666666666666E-2</c:v>
                </c:pt>
                <c:pt idx="84">
                  <c:v>1.7857142857142856E-2</c:v>
                </c:pt>
                <c:pt idx="85">
                  <c:v>1.9047619047619049E-2</c:v>
                </c:pt>
                <c:pt idx="86">
                  <c:v>2.0238095238095239E-2</c:v>
                </c:pt>
                <c:pt idx="87">
                  <c:v>2.1428571428571429E-2</c:v>
                </c:pt>
                <c:pt idx="88">
                  <c:v>2.3809523809523808E-2</c:v>
                </c:pt>
                <c:pt idx="89">
                  <c:v>2.6785714285714284E-2</c:v>
                </c:pt>
                <c:pt idx="90">
                  <c:v>2.976190476190476E-2</c:v>
                </c:pt>
                <c:pt idx="91">
                  <c:v>3.273809523809524E-2</c:v>
                </c:pt>
                <c:pt idx="92">
                  <c:v>3.5714285714285712E-2</c:v>
                </c:pt>
                <c:pt idx="93">
                  <c:v>3.8690476190476192E-2</c:v>
                </c:pt>
                <c:pt idx="94">
                  <c:v>4.1666666666666664E-2</c:v>
                </c:pt>
                <c:pt idx="95">
                  <c:v>4.4642857142857144E-2</c:v>
                </c:pt>
                <c:pt idx="96">
                  <c:v>4.7619047619047616E-2</c:v>
                </c:pt>
                <c:pt idx="97">
                  <c:v>5.3571428571428568E-2</c:v>
                </c:pt>
                <c:pt idx="98">
                  <c:v>5.9523809523809521E-2</c:v>
                </c:pt>
                <c:pt idx="99">
                  <c:v>6.5476190476190479E-2</c:v>
                </c:pt>
                <c:pt idx="100">
                  <c:v>7.1428571428571425E-2</c:v>
                </c:pt>
                <c:pt idx="101">
                  <c:v>7.7380952380952384E-2</c:v>
                </c:pt>
                <c:pt idx="102">
                  <c:v>8.3333333333333329E-2</c:v>
                </c:pt>
                <c:pt idx="103">
                  <c:v>9.5238095238095233E-2</c:v>
                </c:pt>
                <c:pt idx="104">
                  <c:v>0.10714285714285714</c:v>
                </c:pt>
                <c:pt idx="105">
                  <c:v>0.11904761904761904</c:v>
                </c:pt>
                <c:pt idx="106">
                  <c:v>0.13095238095238096</c:v>
                </c:pt>
                <c:pt idx="107">
                  <c:v>0.14285714285714285</c:v>
                </c:pt>
                <c:pt idx="108">
                  <c:v>0.15476190476190477</c:v>
                </c:pt>
                <c:pt idx="109">
                  <c:v>0.16666666666666666</c:v>
                </c:pt>
                <c:pt idx="110">
                  <c:v>0.17857142857142858</c:v>
                </c:pt>
                <c:pt idx="111">
                  <c:v>0.19047619047619047</c:v>
                </c:pt>
                <c:pt idx="112">
                  <c:v>0.20238095238095238</c:v>
                </c:pt>
                <c:pt idx="113">
                  <c:v>0.21428571428571427</c:v>
                </c:pt>
                <c:pt idx="114">
                  <c:v>0.23809523809523808</c:v>
                </c:pt>
                <c:pt idx="115">
                  <c:v>0.26785714285714285</c:v>
                </c:pt>
                <c:pt idx="116">
                  <c:v>0.29761904761904762</c:v>
                </c:pt>
                <c:pt idx="117">
                  <c:v>0.32738095238095238</c:v>
                </c:pt>
                <c:pt idx="118">
                  <c:v>0.35714285714285715</c:v>
                </c:pt>
                <c:pt idx="119">
                  <c:v>0.38690476190476192</c:v>
                </c:pt>
                <c:pt idx="120">
                  <c:v>0.41666666666666669</c:v>
                </c:pt>
                <c:pt idx="121">
                  <c:v>0.44642857142857145</c:v>
                </c:pt>
                <c:pt idx="122">
                  <c:v>0.47619047619047616</c:v>
                </c:pt>
                <c:pt idx="123">
                  <c:v>0.5357142857142857</c:v>
                </c:pt>
                <c:pt idx="124">
                  <c:v>0.59523809523809523</c:v>
                </c:pt>
                <c:pt idx="125">
                  <c:v>0.65476190476190477</c:v>
                </c:pt>
                <c:pt idx="126">
                  <c:v>0.7142857142857143</c:v>
                </c:pt>
                <c:pt idx="127">
                  <c:v>0.77380952380952384</c:v>
                </c:pt>
                <c:pt idx="128">
                  <c:v>0.83333333333333337</c:v>
                </c:pt>
                <c:pt idx="129">
                  <c:v>0.95238095238095233</c:v>
                </c:pt>
                <c:pt idx="130" formatCode="0.000_ ">
                  <c:v>1.0714285714285714</c:v>
                </c:pt>
                <c:pt idx="131" formatCode="0.000_ ">
                  <c:v>1.1904761904761905</c:v>
                </c:pt>
                <c:pt idx="132" formatCode="0.000_ ">
                  <c:v>1.3095238095238095</c:v>
                </c:pt>
                <c:pt idx="133" formatCode="0.000_ ">
                  <c:v>1.4285714285714286</c:v>
                </c:pt>
                <c:pt idx="134" formatCode="0.000_ ">
                  <c:v>1.5476190476190477</c:v>
                </c:pt>
                <c:pt idx="135" formatCode="0.000_ ">
                  <c:v>1.6666666666666667</c:v>
                </c:pt>
                <c:pt idx="136" formatCode="0.000_ ">
                  <c:v>1.7857142857142858</c:v>
                </c:pt>
                <c:pt idx="137" formatCode="0.000_ ">
                  <c:v>1.9047619047619047</c:v>
                </c:pt>
                <c:pt idx="138" formatCode="0.000_ ">
                  <c:v>2.0238095238095237</c:v>
                </c:pt>
                <c:pt idx="139" formatCode="0.000_ ">
                  <c:v>2.1428571428571428</c:v>
                </c:pt>
                <c:pt idx="140" formatCode="0.000_ ">
                  <c:v>2.3809523809523809</c:v>
                </c:pt>
                <c:pt idx="141" formatCode="0.000_ ">
                  <c:v>2.6785714285714284</c:v>
                </c:pt>
                <c:pt idx="142" formatCode="0.000_ ">
                  <c:v>2.9761904761904763</c:v>
                </c:pt>
                <c:pt idx="143" formatCode="0.000_ ">
                  <c:v>3.2738095238095237</c:v>
                </c:pt>
                <c:pt idx="144" formatCode="0.000_ ">
                  <c:v>3.5714285714285716</c:v>
                </c:pt>
                <c:pt idx="145" formatCode="0.000_ ">
                  <c:v>3.8690476190476191</c:v>
                </c:pt>
                <c:pt idx="146" formatCode="0.000_ ">
                  <c:v>4.166666666666667</c:v>
                </c:pt>
                <c:pt idx="147" formatCode="0.000_ ">
                  <c:v>4.4642857142857144</c:v>
                </c:pt>
                <c:pt idx="148" formatCode="0.000_ ">
                  <c:v>4.7619047619047619</c:v>
                </c:pt>
                <c:pt idx="149" formatCode="0.000_ ">
                  <c:v>5.3571428571428568</c:v>
                </c:pt>
                <c:pt idx="150" formatCode="0.000_ ">
                  <c:v>5.9523809523809526</c:v>
                </c:pt>
                <c:pt idx="151" formatCode="0.000_ ">
                  <c:v>6.5476190476190474</c:v>
                </c:pt>
                <c:pt idx="152" formatCode="0.000_ ">
                  <c:v>7.1428571428571432</c:v>
                </c:pt>
                <c:pt idx="153" formatCode="0.000_ ">
                  <c:v>7.7380952380952381</c:v>
                </c:pt>
                <c:pt idx="154" formatCode="0.000_ ">
                  <c:v>8.3333333333333339</c:v>
                </c:pt>
                <c:pt idx="155" formatCode="0.000_ ">
                  <c:v>9.5238095238095237</c:v>
                </c:pt>
                <c:pt idx="156" formatCode="0.000_ ">
                  <c:v>10.714285714285714</c:v>
                </c:pt>
                <c:pt idx="157" formatCode="0.000_ ">
                  <c:v>11.904761904761905</c:v>
                </c:pt>
                <c:pt idx="158" formatCode="0.000_ ">
                  <c:v>13.095238095238095</c:v>
                </c:pt>
                <c:pt idx="159" formatCode="0.000_ ">
                  <c:v>14.285714285714286</c:v>
                </c:pt>
                <c:pt idx="160" formatCode="0.000_ ">
                  <c:v>15.476190476190476</c:v>
                </c:pt>
                <c:pt idx="161" formatCode="0.000_ ">
                  <c:v>16.666666666666668</c:v>
                </c:pt>
                <c:pt idx="162" formatCode="0.000_ ">
                  <c:v>17.857142857142858</c:v>
                </c:pt>
                <c:pt idx="163" formatCode="0.000_ ">
                  <c:v>19.047619047619047</c:v>
                </c:pt>
                <c:pt idx="164" formatCode="0.000_ ">
                  <c:v>20.238095238095237</c:v>
                </c:pt>
                <c:pt idx="165" formatCode="0.000_ ">
                  <c:v>21.428571428571427</c:v>
                </c:pt>
                <c:pt idx="166" formatCode="0.000_ ">
                  <c:v>23.80952380952381</c:v>
                </c:pt>
                <c:pt idx="167" formatCode="0.000_ ">
                  <c:v>26.785714285714285</c:v>
                </c:pt>
                <c:pt idx="168" formatCode="0.000_ ">
                  <c:v>29.761904761904763</c:v>
                </c:pt>
                <c:pt idx="169" formatCode="0.000_ ">
                  <c:v>32.738095238095241</c:v>
                </c:pt>
                <c:pt idx="170" formatCode="0.000_ ">
                  <c:v>35.714285714285715</c:v>
                </c:pt>
                <c:pt idx="171" formatCode="0.000_ ">
                  <c:v>38.69047619047619</c:v>
                </c:pt>
                <c:pt idx="172" formatCode="0.000_ ">
                  <c:v>41.666666666666664</c:v>
                </c:pt>
                <c:pt idx="173" formatCode="0.000_ ">
                  <c:v>44.642857142857146</c:v>
                </c:pt>
                <c:pt idx="174" formatCode="0.000_ ">
                  <c:v>47.61904761904762</c:v>
                </c:pt>
                <c:pt idx="175" formatCode="0.000_ ">
                  <c:v>53.571428571428569</c:v>
                </c:pt>
                <c:pt idx="176" formatCode="0.000_ ">
                  <c:v>59.523809523809526</c:v>
                </c:pt>
                <c:pt idx="177" formatCode="0.000_ ">
                  <c:v>65.476190476190482</c:v>
                </c:pt>
                <c:pt idx="178" formatCode="0.000_ ">
                  <c:v>71.428571428571431</c:v>
                </c:pt>
                <c:pt idx="179" formatCode="0.000_ ">
                  <c:v>77.38095238095238</c:v>
                </c:pt>
                <c:pt idx="180" formatCode="0.000_ ">
                  <c:v>83.333333333333329</c:v>
                </c:pt>
                <c:pt idx="181" formatCode="0.000_ ">
                  <c:v>95.238095238095241</c:v>
                </c:pt>
                <c:pt idx="182" formatCode="0.00_ ">
                  <c:v>107.14285714285714</c:v>
                </c:pt>
                <c:pt idx="183" formatCode="0.00_ ">
                  <c:v>119.04761904761905</c:v>
                </c:pt>
                <c:pt idx="184" formatCode="0.00_ ">
                  <c:v>130.95238095238096</c:v>
                </c:pt>
                <c:pt idx="185" formatCode="0.00_ ">
                  <c:v>142.85714285714286</c:v>
                </c:pt>
                <c:pt idx="186" formatCode="0.00_ ">
                  <c:v>154.76190476190476</c:v>
                </c:pt>
                <c:pt idx="187" formatCode="0.00_ ">
                  <c:v>166.66666666666666</c:v>
                </c:pt>
                <c:pt idx="188" formatCode="0.00_ ">
                  <c:v>178.57142857142858</c:v>
                </c:pt>
                <c:pt idx="189" formatCode="0.00_ ">
                  <c:v>190.47619047619048</c:v>
                </c:pt>
                <c:pt idx="190" formatCode="0.00_ ">
                  <c:v>202.38095238095238</c:v>
                </c:pt>
                <c:pt idx="191" formatCode="0.00_ ">
                  <c:v>214.28571428571428</c:v>
                </c:pt>
                <c:pt idx="192" formatCode="0.00_ ">
                  <c:v>238.0952380952381</c:v>
                </c:pt>
                <c:pt idx="193" formatCode="0.00_ ">
                  <c:v>267.85714285714283</c:v>
                </c:pt>
                <c:pt idx="194" formatCode="0.00_ ">
                  <c:v>297.61904761904759</c:v>
                </c:pt>
                <c:pt idx="195" formatCode="0.00_ ">
                  <c:v>327.38095238095241</c:v>
                </c:pt>
                <c:pt idx="196" formatCode="0.00_ ">
                  <c:v>357.14285714285717</c:v>
                </c:pt>
                <c:pt idx="197" formatCode="0.00_ ">
                  <c:v>386.90476190476193</c:v>
                </c:pt>
                <c:pt idx="198" formatCode="0.00_ ">
                  <c:v>416.66666666666669</c:v>
                </c:pt>
                <c:pt idx="199" formatCode="0.00_ ">
                  <c:v>446.42857142857144</c:v>
                </c:pt>
                <c:pt idx="200" formatCode="0.00_ ">
                  <c:v>476.1904761904762</c:v>
                </c:pt>
                <c:pt idx="201" formatCode="0.00_ ">
                  <c:v>535.71428571428567</c:v>
                </c:pt>
                <c:pt idx="202" formatCode="0.00_ ">
                  <c:v>595.23809523809518</c:v>
                </c:pt>
                <c:pt idx="203" formatCode="0.00_ ">
                  <c:v>654.76190476190482</c:v>
                </c:pt>
                <c:pt idx="204" formatCode="0.00_ ">
                  <c:v>714.28571428571433</c:v>
                </c:pt>
                <c:pt idx="205" formatCode="0.00_ ">
                  <c:v>773.80952380952385</c:v>
                </c:pt>
                <c:pt idx="206" formatCode="0.00_ ">
                  <c:v>833.33333333333337</c:v>
                </c:pt>
                <c:pt idx="207" formatCode="0.00_ ">
                  <c:v>952.38095238095241</c:v>
                </c:pt>
                <c:pt idx="208" formatCode="0.00_ ">
                  <c:v>1000</c:v>
                </c:pt>
              </c:numCache>
            </c:numRef>
          </c:xVal>
          <c:yVal>
            <c:numRef>
              <c:f>'dbg30'!$AD$11:$AD$219</c:f>
              <c:numCache>
                <c:formatCode>0.000_ </c:formatCode>
                <c:ptCount val="20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0.1627553893178893</c:v>
                </c:pt>
                <c:pt idx="110">
                  <c:v>0.17032863307135152</c:v>
                </c:pt>
                <c:pt idx="111">
                  <c:v>0.17808475591494458</c:v>
                </c:pt>
                <c:pt idx="112">
                  <c:v>0.18604223536548378</c:v>
                </c:pt>
                <c:pt idx="113">
                  <c:v>0.19384920634920633</c:v>
                </c:pt>
                <c:pt idx="114">
                  <c:v>0.20947802197802196</c:v>
                </c:pt>
                <c:pt idx="115">
                  <c:v>0.22808441558441558</c:v>
                </c:pt>
                <c:pt idx="116">
                  <c:v>0.24574829931972791</c:v>
                </c:pt>
                <c:pt idx="117">
                  <c:v>0.262531328320802</c:v>
                </c:pt>
                <c:pt idx="118">
                  <c:v>0.27827380952380953</c:v>
                </c:pt>
                <c:pt idx="119">
                  <c:v>0.2935267857142857</c:v>
                </c:pt>
                <c:pt idx="120">
                  <c:v>0.30739795918367346</c:v>
                </c:pt>
                <c:pt idx="121">
                  <c:v>0.32120811287477957</c:v>
                </c:pt>
                <c:pt idx="122">
                  <c:v>0.3342857142857143</c:v>
                </c:pt>
                <c:pt idx="123">
                  <c:v>0.35768398268398266</c:v>
                </c:pt>
                <c:pt idx="124">
                  <c:v>0.37912087912087911</c:v>
                </c:pt>
                <c:pt idx="125">
                  <c:v>0.39830293819655521</c:v>
                </c:pt>
                <c:pt idx="126">
                  <c:v>0.41454081632653056</c:v>
                </c:pt>
                <c:pt idx="127">
                  <c:v>0.42900696864111498</c:v>
                </c:pt>
                <c:pt idx="128">
                  <c:v>0.44261294261294271</c:v>
                </c:pt>
                <c:pt idx="129">
                  <c:v>0.46445338698859817</c:v>
                </c:pt>
                <c:pt idx="130">
                  <c:v>0.48319327731092432</c:v>
                </c:pt>
                <c:pt idx="131">
                  <c:v>0.49816849816849818</c:v>
                </c:pt>
                <c:pt idx="132">
                  <c:v>0.51034348165495702</c:v>
                </c:pt>
                <c:pt idx="133">
                  <c:v>0.52046438410074791</c:v>
                </c:pt>
                <c:pt idx="134">
                  <c:v>0.53011803011803038</c:v>
                </c:pt>
                <c:pt idx="135">
                  <c:v>0.53675856307435277</c:v>
                </c:pt>
                <c:pt idx="136">
                  <c:v>0.5436156763590394</c:v>
                </c:pt>
                <c:pt idx="137">
                  <c:v>0.54912054912054908</c:v>
                </c:pt>
                <c:pt idx="138">
                  <c:v>0.5537352555701176</c:v>
                </c:pt>
                <c:pt idx="139">
                  <c:v>0.558103975535168</c:v>
                </c:pt>
                <c:pt idx="140">
                  <c:v>0.56408544726301724</c:v>
                </c:pt>
                <c:pt idx="141">
                  <c:v>0.56519274376417217</c:v>
                </c:pt>
                <c:pt idx="142">
                  <c:v>0.56367243867243921</c:v>
                </c:pt>
                <c:pt idx="143">
                  <c:v>0.56254509379509354</c:v>
                </c:pt>
                <c:pt idx="144">
                  <c:v>0.55929919137466344</c:v>
                </c:pt>
                <c:pt idx="145">
                  <c:v>0.55622436240413808</c:v>
                </c:pt>
                <c:pt idx="146">
                  <c:v>0.55192786069651767</c:v>
                </c:pt>
                <c:pt idx="147">
                  <c:v>0.54691618344754822</c:v>
                </c:pt>
                <c:pt idx="148">
                  <c:v>0.54181929181929167</c:v>
                </c:pt>
                <c:pt idx="149">
                  <c:v>0.5295712591086259</c:v>
                </c:pt>
                <c:pt idx="150">
                  <c:v>0.51850008296001349</c:v>
                </c:pt>
                <c:pt idx="151">
                  <c:v>0.50615484288953727</c:v>
                </c:pt>
                <c:pt idx="152">
                  <c:v>0.493563926399748</c:v>
                </c:pt>
                <c:pt idx="153">
                  <c:v>0.48158421944829666</c:v>
                </c:pt>
                <c:pt idx="154">
                  <c:v>0.46869141357330424</c:v>
                </c:pt>
                <c:pt idx="155">
                  <c:v>0.45196514444806013</c:v>
                </c:pt>
                <c:pt idx="156">
                  <c:v>0.42977479800584462</c:v>
                </c:pt>
                <c:pt idx="157">
                  <c:v>0.40937970786664124</c:v>
                </c:pt>
                <c:pt idx="158">
                  <c:v>0.39006428259377124</c:v>
                </c:pt>
                <c:pt idx="159">
                  <c:v>0.37248942130043439</c:v>
                </c:pt>
                <c:pt idx="160">
                  <c:v>0.35621669373913534</c:v>
                </c:pt>
                <c:pt idx="161">
                  <c:v>0.34091528936889759</c:v>
                </c:pt>
                <c:pt idx="162">
                  <c:v>0.32687429722026096</c:v>
                </c:pt>
                <c:pt idx="163">
                  <c:v>0.3141098127905515</c:v>
                </c:pt>
                <c:pt idx="164">
                  <c:v>0.30199801889299493</c:v>
                </c:pt>
                <c:pt idx="165">
                  <c:v>0.29092771028254916</c:v>
                </c:pt>
                <c:pt idx="166">
                  <c:v>0.27627667451292481</c:v>
                </c:pt>
                <c:pt idx="167">
                  <c:v>0.25745592354588709</c:v>
                </c:pt>
                <c:pt idx="168">
                  <c:v>0.24059745159179258</c:v>
                </c:pt>
                <c:pt idx="169">
                  <c:v>0.2262918549414934</c:v>
                </c:pt>
                <c:pt idx="170">
                  <c:v>0.21325526484597646</c:v>
                </c:pt>
                <c:pt idx="171">
                  <c:v>0.20174826980683491</c:v>
                </c:pt>
                <c:pt idx="172">
                  <c:v>0.19159202241473139</c:v>
                </c:pt>
                <c:pt idx="173">
                  <c:v>0.18252118705939324</c:v>
                </c:pt>
                <c:pt idx="174">
                  <c:v>0.17443385747218798</c:v>
                </c:pt>
                <c:pt idx="175">
                  <c:v>0.1617846529783904</c:v>
                </c:pt>
                <c:pt idx="176">
                  <c:v>0.15664160401002647</c:v>
                </c:pt>
                <c:pt idx="177">
                  <c:v>0.14172335600906649</c:v>
                </c:pt>
                <c:pt idx="178">
                  <c:v>0.12939958592131973</c:v>
                </c:pt>
                <c:pt idx="179">
                  <c:v>0.12400793650793673</c:v>
                </c:pt>
                <c:pt idx="180">
                  <c:v>0.1190476190476204</c:v>
                </c:pt>
                <c:pt idx="181">
                  <c:v>0.11230907457323269</c:v>
                </c:pt>
                <c:pt idx="182">
                  <c:v>0.10088781275221947</c:v>
                </c:pt>
                <c:pt idx="183">
                  <c:v>9.4482237339377662E-2</c:v>
                </c:pt>
                <c:pt idx="184">
                  <c:v>8.7535014005595713E-2</c:v>
                </c:pt>
                <c:pt idx="185">
                  <c:v>8.2671957671948348E-2</c:v>
                </c:pt>
                <c:pt idx="186">
                  <c:v>7.7303648732225838E-2</c:v>
                </c:pt>
                <c:pt idx="187">
                  <c:v>7.4404761904759198E-2</c:v>
                </c:pt>
                <c:pt idx="188">
                  <c:v>7.0861678004547457E-2</c:v>
                </c:pt>
                <c:pt idx="189">
                  <c:v>6.8418171866454713E-2</c:v>
                </c:pt>
                <c:pt idx="190">
                  <c:v>6.4699792960652758E-2</c:v>
                </c:pt>
                <c:pt idx="191">
                  <c:v>6.3323201621074077E-2</c:v>
                </c:pt>
                <c:pt idx="192">
                  <c:v>5.9822924144526723E-2</c:v>
                </c:pt>
                <c:pt idx="193">
                  <c:v>5.6154537286602135E-2</c:v>
                </c:pt>
                <c:pt idx="194">
                  <c:v>5.2582870604055643E-2</c:v>
                </c:pt>
                <c:pt idx="195">
                  <c:v>4.9936081815303623E-2</c:v>
                </c:pt>
                <c:pt idx="196">
                  <c:v>4.7542978852902706E-2</c:v>
                </c:pt>
                <c:pt idx="197">
                  <c:v>4.5647093193110777E-2</c:v>
                </c:pt>
                <c:pt idx="198">
                  <c:v>4.4026486334189485E-2</c:v>
                </c:pt>
                <c:pt idx="199">
                  <c:v>4.2517006802711421E-2</c:v>
                </c:pt>
                <c:pt idx="200">
                  <c:v>4.1335978836002596E-2</c:v>
                </c:pt>
                <c:pt idx="201">
                  <c:v>3.9841907311824798E-2</c:v>
                </c:pt>
                <c:pt idx="202">
                  <c:v>3.8107432473680092E-2</c:v>
                </c:pt>
                <c:pt idx="203">
                  <c:v>3.6788510212545589E-2</c:v>
                </c:pt>
                <c:pt idx="204">
                  <c:v>3.5685737124595107E-2</c:v>
                </c:pt>
                <c:pt idx="205">
                  <c:v>3.4809245335509331E-2</c:v>
                </c:pt>
                <c:pt idx="206">
                  <c:v>3.4052522610863889E-2</c:v>
                </c:pt>
                <c:pt idx="207">
                  <c:v>3.3197885958657025E-2</c:v>
                </c:pt>
                <c:pt idx="208">
                  <c:v>3.2526671870982682E-2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995-4BE7-A1D1-58C3354EF0C6}"/>
            </c:ext>
          </c:extLst>
        </c:ser>
        <c:ser>
          <c:idx val="4"/>
          <c:order val="3"/>
          <c:tx>
            <c:v>ws2 dEu2 stop</c:v>
          </c:tx>
          <c:spPr>
            <a:ln w="12700">
              <a:solidFill>
                <a:srgbClr val="0070C0"/>
              </a:solidFill>
            </a:ln>
          </c:spPr>
          <c:marker>
            <c:symbol val="triangle"/>
            <c:size val="3"/>
            <c:spPr>
              <a:solidFill>
                <a:srgbClr val="0070C0"/>
              </a:solidFill>
              <a:ln>
                <a:noFill/>
              </a:ln>
            </c:spPr>
          </c:marker>
          <c:xVal>
            <c:numRef>
              <c:f>'dbg30'!$Z$11:$Z$219</c:f>
              <c:numCache>
                <c:formatCode>0.00000_ </c:formatCode>
                <c:ptCount val="209"/>
                <c:pt idx="0">
                  <c:v>1.071427380952381E-5</c:v>
                </c:pt>
                <c:pt idx="1">
                  <c:v>1.1904750000000002E-5</c:v>
                </c:pt>
                <c:pt idx="2">
                  <c:v>1.3095238095238096E-5</c:v>
                </c:pt>
                <c:pt idx="3">
                  <c:v>1.4285714285714284E-5</c:v>
                </c:pt>
                <c:pt idx="4">
                  <c:v>1.5476190476190476E-5</c:v>
                </c:pt>
                <c:pt idx="5">
                  <c:v>1.6666666666666667E-5</c:v>
                </c:pt>
                <c:pt idx="6">
                  <c:v>1.7857142857142858E-5</c:v>
                </c:pt>
                <c:pt idx="7">
                  <c:v>1.9047619047619049E-5</c:v>
                </c:pt>
                <c:pt idx="8">
                  <c:v>2.0238095238095237E-5</c:v>
                </c:pt>
                <c:pt idx="9">
                  <c:v>2.1428571428571428E-5</c:v>
                </c:pt>
                <c:pt idx="10">
                  <c:v>2.380952380952381E-5</c:v>
                </c:pt>
                <c:pt idx="11">
                  <c:v>2.6785714285714284E-5</c:v>
                </c:pt>
                <c:pt idx="12">
                  <c:v>2.9761904761904762E-5</c:v>
                </c:pt>
                <c:pt idx="13">
                  <c:v>3.2738095238095239E-5</c:v>
                </c:pt>
                <c:pt idx="14">
                  <c:v>3.5714285714285717E-5</c:v>
                </c:pt>
                <c:pt idx="15">
                  <c:v>3.8690476190476188E-5</c:v>
                </c:pt>
                <c:pt idx="16">
                  <c:v>4.1666666666666665E-5</c:v>
                </c:pt>
                <c:pt idx="17">
                  <c:v>4.4642857142857143E-5</c:v>
                </c:pt>
                <c:pt idx="18">
                  <c:v>4.761904761904762E-5</c:v>
                </c:pt>
                <c:pt idx="19">
                  <c:v>5.3571428571428569E-5</c:v>
                </c:pt>
                <c:pt idx="20">
                  <c:v>5.9523809523809524E-5</c:v>
                </c:pt>
                <c:pt idx="21">
                  <c:v>6.5476190476190479E-5</c:v>
                </c:pt>
                <c:pt idx="22">
                  <c:v>7.1428571428571434E-5</c:v>
                </c:pt>
                <c:pt idx="23">
                  <c:v>7.7380952380952375E-5</c:v>
                </c:pt>
                <c:pt idx="24">
                  <c:v>8.3333333333333331E-5</c:v>
                </c:pt>
                <c:pt idx="25">
                  <c:v>9.5238095238095241E-5</c:v>
                </c:pt>
                <c:pt idx="26">
                  <c:v>1.0714285714285714E-4</c:v>
                </c:pt>
                <c:pt idx="27">
                  <c:v>1.1904761904761905E-4</c:v>
                </c:pt>
                <c:pt idx="28">
                  <c:v>1.3095238095238096E-4</c:v>
                </c:pt>
                <c:pt idx="29">
                  <c:v>1.4285714285714287E-4</c:v>
                </c:pt>
                <c:pt idx="30">
                  <c:v>1.5476190476190475E-4</c:v>
                </c:pt>
                <c:pt idx="31">
                  <c:v>1.6666666666666666E-4</c:v>
                </c:pt>
                <c:pt idx="32">
                  <c:v>1.7857142857142857E-4</c:v>
                </c:pt>
                <c:pt idx="33">
                  <c:v>1.9047619047619048E-4</c:v>
                </c:pt>
                <c:pt idx="34">
                  <c:v>2.0238095238095239E-4</c:v>
                </c:pt>
                <c:pt idx="35">
                  <c:v>2.1428571428571427E-4</c:v>
                </c:pt>
                <c:pt idx="36">
                  <c:v>2.380952380952381E-4</c:v>
                </c:pt>
                <c:pt idx="37">
                  <c:v>2.6785714285714287E-4</c:v>
                </c:pt>
                <c:pt idx="38">
                  <c:v>2.9761904761904765E-4</c:v>
                </c:pt>
                <c:pt idx="39">
                  <c:v>3.2738095238095237E-4</c:v>
                </c:pt>
                <c:pt idx="40">
                  <c:v>3.5714285714285714E-4</c:v>
                </c:pt>
                <c:pt idx="41">
                  <c:v>3.8690476190476192E-4</c:v>
                </c:pt>
                <c:pt idx="42">
                  <c:v>4.1666666666666669E-4</c:v>
                </c:pt>
                <c:pt idx="43">
                  <c:v>4.4642857142857141E-4</c:v>
                </c:pt>
                <c:pt idx="44">
                  <c:v>4.7619047619047619E-4</c:v>
                </c:pt>
                <c:pt idx="45">
                  <c:v>5.3571428571428574E-4</c:v>
                </c:pt>
                <c:pt idx="46">
                  <c:v>5.9523809523809529E-4</c:v>
                </c:pt>
                <c:pt idx="47">
                  <c:v>6.5476190476190473E-4</c:v>
                </c:pt>
                <c:pt idx="48">
                  <c:v>7.1428571428571429E-4</c:v>
                </c:pt>
                <c:pt idx="49">
                  <c:v>7.7380952380952384E-4</c:v>
                </c:pt>
                <c:pt idx="50">
                  <c:v>8.3333333333333339E-4</c:v>
                </c:pt>
                <c:pt idx="51">
                  <c:v>9.5238095238095238E-4</c:v>
                </c:pt>
                <c:pt idx="52">
                  <c:v>1.0714285714285715E-3</c:v>
                </c:pt>
                <c:pt idx="53">
                  <c:v>1.1904761904761906E-3</c:v>
                </c:pt>
                <c:pt idx="54">
                  <c:v>1.3095238095238095E-3</c:v>
                </c:pt>
                <c:pt idx="55">
                  <c:v>1.4285714285714286E-3</c:v>
                </c:pt>
                <c:pt idx="56">
                  <c:v>1.5476190476190477E-3</c:v>
                </c:pt>
                <c:pt idx="57">
                  <c:v>1.6666666666666668E-3</c:v>
                </c:pt>
                <c:pt idx="58">
                  <c:v>1.7857142857142857E-3</c:v>
                </c:pt>
                <c:pt idx="59">
                  <c:v>1.9047619047619048E-3</c:v>
                </c:pt>
                <c:pt idx="60">
                  <c:v>2.0238095238095241E-3</c:v>
                </c:pt>
                <c:pt idx="61">
                  <c:v>2.142857142857143E-3</c:v>
                </c:pt>
                <c:pt idx="62">
                  <c:v>2.3809523809523812E-3</c:v>
                </c:pt>
                <c:pt idx="63">
                  <c:v>2.6785714285714286E-3</c:v>
                </c:pt>
                <c:pt idx="64">
                  <c:v>2.976190476190476E-3</c:v>
                </c:pt>
                <c:pt idx="65">
                  <c:v>3.2738095238095239E-3</c:v>
                </c:pt>
                <c:pt idx="66">
                  <c:v>3.5714285714285713E-3</c:v>
                </c:pt>
                <c:pt idx="67">
                  <c:v>3.8690476190476192E-3</c:v>
                </c:pt>
                <c:pt idx="68">
                  <c:v>4.1666666666666666E-3</c:v>
                </c:pt>
                <c:pt idx="69">
                  <c:v>4.464285714285714E-3</c:v>
                </c:pt>
                <c:pt idx="70">
                  <c:v>4.7619047619047623E-3</c:v>
                </c:pt>
                <c:pt idx="71">
                  <c:v>5.3571428571428572E-3</c:v>
                </c:pt>
                <c:pt idx="72">
                  <c:v>5.9523809523809521E-3</c:v>
                </c:pt>
                <c:pt idx="73">
                  <c:v>6.5476190476190478E-3</c:v>
                </c:pt>
                <c:pt idx="74">
                  <c:v>7.1428571428571426E-3</c:v>
                </c:pt>
                <c:pt idx="75">
                  <c:v>7.7380952380952384E-3</c:v>
                </c:pt>
                <c:pt idx="76">
                  <c:v>8.3333333333333332E-3</c:v>
                </c:pt>
                <c:pt idx="77">
                  <c:v>9.5238095238095247E-3</c:v>
                </c:pt>
                <c:pt idx="78">
                  <c:v>1.0714285714285714E-2</c:v>
                </c:pt>
                <c:pt idx="79">
                  <c:v>1.1904761904761904E-2</c:v>
                </c:pt>
                <c:pt idx="80">
                  <c:v>1.3095238095238096E-2</c:v>
                </c:pt>
                <c:pt idx="81">
                  <c:v>1.4285714285714285E-2</c:v>
                </c:pt>
                <c:pt idx="82">
                  <c:v>1.5476190476190477E-2</c:v>
                </c:pt>
                <c:pt idx="83">
                  <c:v>1.6666666666666666E-2</c:v>
                </c:pt>
                <c:pt idx="84">
                  <c:v>1.7857142857142856E-2</c:v>
                </c:pt>
                <c:pt idx="85">
                  <c:v>1.9047619047619049E-2</c:v>
                </c:pt>
                <c:pt idx="86">
                  <c:v>2.0238095238095239E-2</c:v>
                </c:pt>
                <c:pt idx="87">
                  <c:v>2.1428571428571429E-2</c:v>
                </c:pt>
                <c:pt idx="88">
                  <c:v>2.3809523809523808E-2</c:v>
                </c:pt>
                <c:pt idx="89">
                  <c:v>2.6785714285714284E-2</c:v>
                </c:pt>
                <c:pt idx="90">
                  <c:v>2.976190476190476E-2</c:v>
                </c:pt>
                <c:pt idx="91">
                  <c:v>3.273809523809524E-2</c:v>
                </c:pt>
                <c:pt idx="92">
                  <c:v>3.5714285714285712E-2</c:v>
                </c:pt>
                <c:pt idx="93">
                  <c:v>3.8690476190476192E-2</c:v>
                </c:pt>
                <c:pt idx="94">
                  <c:v>4.1666666666666664E-2</c:v>
                </c:pt>
                <c:pt idx="95">
                  <c:v>4.4642857142857144E-2</c:v>
                </c:pt>
                <c:pt idx="96">
                  <c:v>4.7619047619047616E-2</c:v>
                </c:pt>
                <c:pt idx="97">
                  <c:v>5.3571428571428568E-2</c:v>
                </c:pt>
                <c:pt idx="98">
                  <c:v>5.9523809523809521E-2</c:v>
                </c:pt>
                <c:pt idx="99">
                  <c:v>6.5476190476190479E-2</c:v>
                </c:pt>
                <c:pt idx="100">
                  <c:v>7.1428571428571425E-2</c:v>
                </c:pt>
                <c:pt idx="101">
                  <c:v>7.7380952380952384E-2</c:v>
                </c:pt>
                <c:pt idx="102">
                  <c:v>8.3333333333333329E-2</c:v>
                </c:pt>
                <c:pt idx="103">
                  <c:v>9.5238095238095233E-2</c:v>
                </c:pt>
                <c:pt idx="104">
                  <c:v>0.10714285714285714</c:v>
                </c:pt>
                <c:pt idx="105">
                  <c:v>0.11904761904761904</c:v>
                </c:pt>
                <c:pt idx="106">
                  <c:v>0.13095238095238096</c:v>
                </c:pt>
                <c:pt idx="107">
                  <c:v>0.14285714285714285</c:v>
                </c:pt>
                <c:pt idx="108">
                  <c:v>0.15476190476190477</c:v>
                </c:pt>
                <c:pt idx="109">
                  <c:v>0.16666666666666666</c:v>
                </c:pt>
                <c:pt idx="110">
                  <c:v>0.17857142857142858</c:v>
                </c:pt>
                <c:pt idx="111">
                  <c:v>0.19047619047619047</c:v>
                </c:pt>
                <c:pt idx="112">
                  <c:v>0.20238095238095238</c:v>
                </c:pt>
                <c:pt idx="113">
                  <c:v>0.21428571428571427</c:v>
                </c:pt>
                <c:pt idx="114">
                  <c:v>0.23809523809523808</c:v>
                </c:pt>
                <c:pt idx="115">
                  <c:v>0.26785714285714285</c:v>
                </c:pt>
                <c:pt idx="116">
                  <c:v>0.29761904761904762</c:v>
                </c:pt>
                <c:pt idx="117">
                  <c:v>0.32738095238095238</c:v>
                </c:pt>
                <c:pt idx="118">
                  <c:v>0.35714285714285715</c:v>
                </c:pt>
                <c:pt idx="119">
                  <c:v>0.38690476190476192</c:v>
                </c:pt>
                <c:pt idx="120">
                  <c:v>0.41666666666666669</c:v>
                </c:pt>
                <c:pt idx="121">
                  <c:v>0.44642857142857145</c:v>
                </c:pt>
                <c:pt idx="122">
                  <c:v>0.47619047619047616</c:v>
                </c:pt>
                <c:pt idx="123">
                  <c:v>0.5357142857142857</c:v>
                </c:pt>
                <c:pt idx="124">
                  <c:v>0.59523809523809523</c:v>
                </c:pt>
                <c:pt idx="125">
                  <c:v>0.65476190476190477</c:v>
                </c:pt>
                <c:pt idx="126">
                  <c:v>0.7142857142857143</c:v>
                </c:pt>
                <c:pt idx="127">
                  <c:v>0.77380952380952384</c:v>
                </c:pt>
                <c:pt idx="128">
                  <c:v>0.83333333333333337</c:v>
                </c:pt>
                <c:pt idx="129">
                  <c:v>0.95238095238095233</c:v>
                </c:pt>
                <c:pt idx="130" formatCode="0.000_ ">
                  <c:v>1.0714285714285714</c:v>
                </c:pt>
                <c:pt idx="131" formatCode="0.000_ ">
                  <c:v>1.1904761904761905</c:v>
                </c:pt>
                <c:pt idx="132" formatCode="0.000_ ">
                  <c:v>1.3095238095238095</c:v>
                </c:pt>
                <c:pt idx="133" formatCode="0.000_ ">
                  <c:v>1.4285714285714286</c:v>
                </c:pt>
                <c:pt idx="134" formatCode="0.000_ ">
                  <c:v>1.5476190476190477</c:v>
                </c:pt>
                <c:pt idx="135" formatCode="0.000_ ">
                  <c:v>1.6666666666666667</c:v>
                </c:pt>
                <c:pt idx="136" formatCode="0.000_ ">
                  <c:v>1.7857142857142858</c:v>
                </c:pt>
                <c:pt idx="137" formatCode="0.000_ ">
                  <c:v>1.9047619047619047</c:v>
                </c:pt>
                <c:pt idx="138" formatCode="0.000_ ">
                  <c:v>2.0238095238095237</c:v>
                </c:pt>
                <c:pt idx="139" formatCode="0.000_ ">
                  <c:v>2.1428571428571428</c:v>
                </c:pt>
                <c:pt idx="140" formatCode="0.000_ ">
                  <c:v>2.3809523809523809</c:v>
                </c:pt>
                <c:pt idx="141" formatCode="0.000_ ">
                  <c:v>2.6785714285714284</c:v>
                </c:pt>
                <c:pt idx="142" formatCode="0.000_ ">
                  <c:v>2.9761904761904763</c:v>
                </c:pt>
                <c:pt idx="143" formatCode="0.000_ ">
                  <c:v>3.2738095238095237</c:v>
                </c:pt>
                <c:pt idx="144" formatCode="0.000_ ">
                  <c:v>3.5714285714285716</c:v>
                </c:pt>
                <c:pt idx="145" formatCode="0.000_ ">
                  <c:v>3.8690476190476191</c:v>
                </c:pt>
                <c:pt idx="146" formatCode="0.000_ ">
                  <c:v>4.166666666666667</c:v>
                </c:pt>
                <c:pt idx="147" formatCode="0.000_ ">
                  <c:v>4.4642857142857144</c:v>
                </c:pt>
                <c:pt idx="148" formatCode="0.000_ ">
                  <c:v>4.7619047619047619</c:v>
                </c:pt>
                <c:pt idx="149" formatCode="0.000_ ">
                  <c:v>5.3571428571428568</c:v>
                </c:pt>
                <c:pt idx="150" formatCode="0.000_ ">
                  <c:v>5.9523809523809526</c:v>
                </c:pt>
                <c:pt idx="151" formatCode="0.000_ ">
                  <c:v>6.5476190476190474</c:v>
                </c:pt>
                <c:pt idx="152" formatCode="0.000_ ">
                  <c:v>7.1428571428571432</c:v>
                </c:pt>
                <c:pt idx="153" formatCode="0.000_ ">
                  <c:v>7.7380952380952381</c:v>
                </c:pt>
                <c:pt idx="154" formatCode="0.000_ ">
                  <c:v>8.3333333333333339</c:v>
                </c:pt>
                <c:pt idx="155" formatCode="0.000_ ">
                  <c:v>9.5238095238095237</c:v>
                </c:pt>
                <c:pt idx="156" formatCode="0.000_ ">
                  <c:v>10.714285714285714</c:v>
                </c:pt>
                <c:pt idx="157" formatCode="0.000_ ">
                  <c:v>11.904761904761905</c:v>
                </c:pt>
                <c:pt idx="158" formatCode="0.000_ ">
                  <c:v>13.095238095238095</c:v>
                </c:pt>
                <c:pt idx="159" formatCode="0.000_ ">
                  <c:v>14.285714285714286</c:v>
                </c:pt>
                <c:pt idx="160" formatCode="0.000_ ">
                  <c:v>15.476190476190476</c:v>
                </c:pt>
                <c:pt idx="161" formatCode="0.000_ ">
                  <c:v>16.666666666666668</c:v>
                </c:pt>
                <c:pt idx="162" formatCode="0.000_ ">
                  <c:v>17.857142857142858</c:v>
                </c:pt>
                <c:pt idx="163" formatCode="0.000_ ">
                  <c:v>19.047619047619047</c:v>
                </c:pt>
                <c:pt idx="164" formatCode="0.000_ ">
                  <c:v>20.238095238095237</c:v>
                </c:pt>
                <c:pt idx="165" formatCode="0.000_ ">
                  <c:v>21.428571428571427</c:v>
                </c:pt>
                <c:pt idx="166" formatCode="0.000_ ">
                  <c:v>23.80952380952381</c:v>
                </c:pt>
                <c:pt idx="167" formatCode="0.000_ ">
                  <c:v>26.785714285714285</c:v>
                </c:pt>
                <c:pt idx="168" formatCode="0.000_ ">
                  <c:v>29.761904761904763</c:v>
                </c:pt>
                <c:pt idx="169" formatCode="0.000_ ">
                  <c:v>32.738095238095241</c:v>
                </c:pt>
                <c:pt idx="170" formatCode="0.000_ ">
                  <c:v>35.714285714285715</c:v>
                </c:pt>
                <c:pt idx="171" formatCode="0.000_ ">
                  <c:v>38.69047619047619</c:v>
                </c:pt>
                <c:pt idx="172" formatCode="0.000_ ">
                  <c:v>41.666666666666664</c:v>
                </c:pt>
                <c:pt idx="173" formatCode="0.000_ ">
                  <c:v>44.642857142857146</c:v>
                </c:pt>
                <c:pt idx="174" formatCode="0.000_ ">
                  <c:v>47.61904761904762</c:v>
                </c:pt>
                <c:pt idx="175" formatCode="0.000_ ">
                  <c:v>53.571428571428569</c:v>
                </c:pt>
                <c:pt idx="176" formatCode="0.000_ ">
                  <c:v>59.523809523809526</c:v>
                </c:pt>
                <c:pt idx="177" formatCode="0.000_ ">
                  <c:v>65.476190476190482</c:v>
                </c:pt>
                <c:pt idx="178" formatCode="0.000_ ">
                  <c:v>71.428571428571431</c:v>
                </c:pt>
                <c:pt idx="179" formatCode="0.000_ ">
                  <c:v>77.38095238095238</c:v>
                </c:pt>
                <c:pt idx="180" formatCode="0.000_ ">
                  <c:v>83.333333333333329</c:v>
                </c:pt>
                <c:pt idx="181" formatCode="0.000_ ">
                  <c:v>95.238095238095241</c:v>
                </c:pt>
                <c:pt idx="182" formatCode="0.00_ ">
                  <c:v>107.14285714285714</c:v>
                </c:pt>
                <c:pt idx="183" formatCode="0.00_ ">
                  <c:v>119.04761904761905</c:v>
                </c:pt>
                <c:pt idx="184" formatCode="0.00_ ">
                  <c:v>130.95238095238096</c:v>
                </c:pt>
                <c:pt idx="185" formatCode="0.00_ ">
                  <c:v>142.85714285714286</c:v>
                </c:pt>
                <c:pt idx="186" formatCode="0.00_ ">
                  <c:v>154.76190476190476</c:v>
                </c:pt>
                <c:pt idx="187" formatCode="0.00_ ">
                  <c:v>166.66666666666666</c:v>
                </c:pt>
                <c:pt idx="188" formatCode="0.00_ ">
                  <c:v>178.57142857142858</c:v>
                </c:pt>
                <c:pt idx="189" formatCode="0.00_ ">
                  <c:v>190.47619047619048</c:v>
                </c:pt>
                <c:pt idx="190" formatCode="0.00_ ">
                  <c:v>202.38095238095238</c:v>
                </c:pt>
                <c:pt idx="191" formatCode="0.00_ ">
                  <c:v>214.28571428571428</c:v>
                </c:pt>
                <c:pt idx="192" formatCode="0.00_ ">
                  <c:v>238.0952380952381</c:v>
                </c:pt>
                <c:pt idx="193" formatCode="0.00_ ">
                  <c:v>267.85714285714283</c:v>
                </c:pt>
                <c:pt idx="194" formatCode="0.00_ ">
                  <c:v>297.61904761904759</c:v>
                </c:pt>
                <c:pt idx="195" formatCode="0.00_ ">
                  <c:v>327.38095238095241</c:v>
                </c:pt>
                <c:pt idx="196" formatCode="0.00_ ">
                  <c:v>357.14285714285717</c:v>
                </c:pt>
                <c:pt idx="197" formatCode="0.00_ ">
                  <c:v>386.90476190476193</c:v>
                </c:pt>
                <c:pt idx="198" formatCode="0.00_ ">
                  <c:v>416.66666666666669</c:v>
                </c:pt>
                <c:pt idx="199" formatCode="0.00_ ">
                  <c:v>446.42857142857144</c:v>
                </c:pt>
                <c:pt idx="200" formatCode="0.00_ ">
                  <c:v>476.1904761904762</c:v>
                </c:pt>
                <c:pt idx="201" formatCode="0.00_ ">
                  <c:v>535.71428571428567</c:v>
                </c:pt>
                <c:pt idx="202" formatCode="0.00_ ">
                  <c:v>595.23809523809518</c:v>
                </c:pt>
                <c:pt idx="203" formatCode="0.00_ ">
                  <c:v>654.76190476190482</c:v>
                </c:pt>
                <c:pt idx="204" formatCode="0.00_ ">
                  <c:v>714.28571428571433</c:v>
                </c:pt>
                <c:pt idx="205" formatCode="0.00_ ">
                  <c:v>773.80952380952385</c:v>
                </c:pt>
                <c:pt idx="206" formatCode="0.00_ ">
                  <c:v>833.33333333333337</c:v>
                </c:pt>
                <c:pt idx="207" formatCode="0.00_ ">
                  <c:v>952.38095238095241</c:v>
                </c:pt>
                <c:pt idx="208" formatCode="0.00_ ">
                  <c:v>1000</c:v>
                </c:pt>
              </c:numCache>
            </c:numRef>
          </c:xVal>
          <c:yVal>
            <c:numRef>
              <c:f>'dbg30'!$AE$11:$AE$219</c:f>
              <c:numCache>
                <c:formatCode>0.000_ </c:formatCode>
                <c:ptCount val="209"/>
                <c:pt idx="0">
                  <c:v>1.071427380952381E-5</c:v>
                </c:pt>
                <c:pt idx="1">
                  <c:v>1.1904750000000002E-5</c:v>
                </c:pt>
                <c:pt idx="2">
                  <c:v>1.3095238095238096E-5</c:v>
                </c:pt>
                <c:pt idx="3">
                  <c:v>1.4285714285714284E-5</c:v>
                </c:pt>
                <c:pt idx="4">
                  <c:v>1.5476190476190476E-5</c:v>
                </c:pt>
                <c:pt idx="5">
                  <c:v>1.6666666666666667E-5</c:v>
                </c:pt>
                <c:pt idx="6">
                  <c:v>1.7857142857142858E-5</c:v>
                </c:pt>
                <c:pt idx="7">
                  <c:v>1.9047619047619049E-5</c:v>
                </c:pt>
                <c:pt idx="8">
                  <c:v>2.0238095238095237E-5</c:v>
                </c:pt>
                <c:pt idx="9">
                  <c:v>2.1428571428571428E-5</c:v>
                </c:pt>
                <c:pt idx="10">
                  <c:v>2.380952380952381E-5</c:v>
                </c:pt>
                <c:pt idx="11">
                  <c:v>2.6785714285714284E-5</c:v>
                </c:pt>
                <c:pt idx="12">
                  <c:v>2.9761904761904762E-5</c:v>
                </c:pt>
                <c:pt idx="13">
                  <c:v>3.2738095238095239E-5</c:v>
                </c:pt>
                <c:pt idx="14">
                  <c:v>3.5714285714285717E-5</c:v>
                </c:pt>
                <c:pt idx="15">
                  <c:v>3.8690476190476188E-5</c:v>
                </c:pt>
                <c:pt idx="16">
                  <c:v>4.1666666666666665E-5</c:v>
                </c:pt>
                <c:pt idx="17">
                  <c:v>4.4642857142857143E-5</c:v>
                </c:pt>
                <c:pt idx="18">
                  <c:v>4.761904761904762E-5</c:v>
                </c:pt>
                <c:pt idx="19">
                  <c:v>5.3571428571428569E-5</c:v>
                </c:pt>
                <c:pt idx="20">
                  <c:v>5.9523809523809524E-5</c:v>
                </c:pt>
                <c:pt idx="21">
                  <c:v>6.5476190476190479E-5</c:v>
                </c:pt>
                <c:pt idx="22">
                  <c:v>7.1428571428571434E-5</c:v>
                </c:pt>
                <c:pt idx="23">
                  <c:v>7.7380952380952375E-5</c:v>
                </c:pt>
                <c:pt idx="24">
                  <c:v>8.3333333333333331E-5</c:v>
                </c:pt>
                <c:pt idx="25">
                  <c:v>9.5238095238095241E-5</c:v>
                </c:pt>
                <c:pt idx="26">
                  <c:v>1.0714285714285714E-4</c:v>
                </c:pt>
                <c:pt idx="27">
                  <c:v>1.1904761904761905E-4</c:v>
                </c:pt>
                <c:pt idx="28">
                  <c:v>1.3095238095238096E-4</c:v>
                </c:pt>
                <c:pt idx="29">
                  <c:v>1.4285714285714287E-4</c:v>
                </c:pt>
                <c:pt idx="30">
                  <c:v>1.5476190476190475E-4</c:v>
                </c:pt>
                <c:pt idx="31">
                  <c:v>1.6666666666666666E-4</c:v>
                </c:pt>
                <c:pt idx="32">
                  <c:v>1.7857142857142857E-4</c:v>
                </c:pt>
                <c:pt idx="33">
                  <c:v>1.9047619047619048E-4</c:v>
                </c:pt>
                <c:pt idx="34">
                  <c:v>2.0238095238095239E-4</c:v>
                </c:pt>
                <c:pt idx="35">
                  <c:v>2.1428571428571427E-4</c:v>
                </c:pt>
                <c:pt idx="36">
                  <c:v>2.380952380952381E-4</c:v>
                </c:pt>
                <c:pt idx="37">
                  <c:v>2.6785714285714287E-4</c:v>
                </c:pt>
                <c:pt idx="38">
                  <c:v>2.9761904761904765E-4</c:v>
                </c:pt>
                <c:pt idx="39">
                  <c:v>3.2738095238095237E-4</c:v>
                </c:pt>
                <c:pt idx="40">
                  <c:v>3.5714285714285714E-4</c:v>
                </c:pt>
                <c:pt idx="41">
                  <c:v>3.8690476190476192E-4</c:v>
                </c:pt>
                <c:pt idx="42">
                  <c:v>4.1666666666666669E-4</c:v>
                </c:pt>
                <c:pt idx="43">
                  <c:v>4.4642857142857141E-4</c:v>
                </c:pt>
                <c:pt idx="44">
                  <c:v>4.7619047619047619E-4</c:v>
                </c:pt>
                <c:pt idx="45">
                  <c:v>5.3571428571428574E-4</c:v>
                </c:pt>
                <c:pt idx="46">
                  <c:v>5.9523809523809529E-4</c:v>
                </c:pt>
                <c:pt idx="47">
                  <c:v>6.5476190476190473E-4</c:v>
                </c:pt>
                <c:pt idx="48">
                  <c:v>7.1428571428571429E-4</c:v>
                </c:pt>
                <c:pt idx="49">
                  <c:v>7.7380952380952384E-4</c:v>
                </c:pt>
                <c:pt idx="50">
                  <c:v>8.3333333333333339E-4</c:v>
                </c:pt>
                <c:pt idx="51">
                  <c:v>9.5238095238095238E-4</c:v>
                </c:pt>
                <c:pt idx="52">
                  <c:v>1.0714285714285715E-3</c:v>
                </c:pt>
                <c:pt idx="53">
                  <c:v>1.1904761904761906E-3</c:v>
                </c:pt>
                <c:pt idx="54">
                  <c:v>1.3095238095238095E-3</c:v>
                </c:pt>
                <c:pt idx="55">
                  <c:v>1.4285714285714286E-3</c:v>
                </c:pt>
                <c:pt idx="56">
                  <c:v>1.5476190476190477E-3</c:v>
                </c:pt>
                <c:pt idx="57">
                  <c:v>1.6666666666666668E-3</c:v>
                </c:pt>
                <c:pt idx="58">
                  <c:v>1.7857142857142857E-3</c:v>
                </c:pt>
                <c:pt idx="59">
                  <c:v>1.9047619047619048E-3</c:v>
                </c:pt>
                <c:pt idx="60">
                  <c:v>2.0238095238095241E-3</c:v>
                </c:pt>
                <c:pt idx="61">
                  <c:v>2.142857142857143E-3</c:v>
                </c:pt>
                <c:pt idx="62">
                  <c:v>2.3809523809523812E-3</c:v>
                </c:pt>
                <c:pt idx="63">
                  <c:v>2.6785714285714286E-3</c:v>
                </c:pt>
                <c:pt idx="64">
                  <c:v>2.976190476190476E-3</c:v>
                </c:pt>
                <c:pt idx="65">
                  <c:v>3.2738095238095239E-3</c:v>
                </c:pt>
                <c:pt idx="66">
                  <c:v>3.5714285714285713E-3</c:v>
                </c:pt>
                <c:pt idx="67">
                  <c:v>3.8690476190476192E-3</c:v>
                </c:pt>
                <c:pt idx="68">
                  <c:v>4.1666666666666666E-3</c:v>
                </c:pt>
                <c:pt idx="69">
                  <c:v>4.464285714285714E-3</c:v>
                </c:pt>
                <c:pt idx="70">
                  <c:v>4.7619047619047623E-3</c:v>
                </c:pt>
                <c:pt idx="71">
                  <c:v>5.3571428571428572E-3</c:v>
                </c:pt>
                <c:pt idx="72">
                  <c:v>5.9523809523809521E-3</c:v>
                </c:pt>
                <c:pt idx="73">
                  <c:v>6.5476190476190478E-3</c:v>
                </c:pt>
                <c:pt idx="74">
                  <c:v>7.1428571428571426E-3</c:v>
                </c:pt>
                <c:pt idx="75">
                  <c:v>7.7380952380952384E-3</c:v>
                </c:pt>
                <c:pt idx="76">
                  <c:v>8.3333333333333332E-3</c:v>
                </c:pt>
                <c:pt idx="77">
                  <c:v>9.5238095238095247E-3</c:v>
                </c:pt>
                <c:pt idx="78">
                  <c:v>1.0714285714285714E-2</c:v>
                </c:pt>
                <c:pt idx="79">
                  <c:v>1.1904761904761904E-2</c:v>
                </c:pt>
                <c:pt idx="80">
                  <c:v>1.3095238095238096E-2</c:v>
                </c:pt>
                <c:pt idx="81">
                  <c:v>1.4285714285714285E-2</c:v>
                </c:pt>
                <c:pt idx="82">
                  <c:v>1.5476190476190477E-2</c:v>
                </c:pt>
                <c:pt idx="83">
                  <c:v>1.6666666666666666E-2</c:v>
                </c:pt>
                <c:pt idx="84">
                  <c:v>1.7857142857142856E-2</c:v>
                </c:pt>
                <c:pt idx="85">
                  <c:v>1.9047619047619049E-2</c:v>
                </c:pt>
                <c:pt idx="86">
                  <c:v>2.0238095238095239E-2</c:v>
                </c:pt>
                <c:pt idx="87">
                  <c:v>2.1428571428571429E-2</c:v>
                </c:pt>
                <c:pt idx="88">
                  <c:v>2.3809523809523808E-2</c:v>
                </c:pt>
                <c:pt idx="89">
                  <c:v>2.6785714285714284E-2</c:v>
                </c:pt>
                <c:pt idx="90">
                  <c:v>2.976190476190476E-2</c:v>
                </c:pt>
                <c:pt idx="91">
                  <c:v>3.273809523809524E-2</c:v>
                </c:pt>
                <c:pt idx="92">
                  <c:v>3.5714285714285712E-2</c:v>
                </c:pt>
                <c:pt idx="93">
                  <c:v>3.8690476190476192E-2</c:v>
                </c:pt>
                <c:pt idx="94">
                  <c:v>4.1666666666666664E-2</c:v>
                </c:pt>
                <c:pt idx="95">
                  <c:v>4.4642857142857144E-2</c:v>
                </c:pt>
                <c:pt idx="96">
                  <c:v>4.7619047619047616E-2</c:v>
                </c:pt>
                <c:pt idx="97">
                  <c:v>5.3571428571428568E-2</c:v>
                </c:pt>
                <c:pt idx="98">
                  <c:v>5.9523809523809521E-2</c:v>
                </c:pt>
                <c:pt idx="99">
                  <c:v>6.5476190476190479E-2</c:v>
                </c:pt>
                <c:pt idx="100">
                  <c:v>7.1428571428571425E-2</c:v>
                </c:pt>
                <c:pt idx="101">
                  <c:v>7.7380952380952384E-2</c:v>
                </c:pt>
                <c:pt idx="102">
                  <c:v>8.3333333333333329E-2</c:v>
                </c:pt>
                <c:pt idx="103">
                  <c:v>9.5238095238095233E-2</c:v>
                </c:pt>
                <c:pt idx="104">
                  <c:v>0.10714285714285714</c:v>
                </c:pt>
                <c:pt idx="105">
                  <c:v>0.11904761904761904</c:v>
                </c:pt>
                <c:pt idx="106">
                  <c:v>0.13095238095238096</c:v>
                </c:pt>
                <c:pt idx="107">
                  <c:v>0.14285714285714285</c:v>
                </c:pt>
                <c:pt idx="108">
                  <c:v>0.15476190476190477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995-4BE7-A1D1-58C3354EF0C6}"/>
            </c:ext>
          </c:extLst>
        </c:ser>
        <c:ser>
          <c:idx val="5"/>
          <c:order val="4"/>
          <c:tx>
            <c:v>Eu10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'dbg30'!$S$4</c:f>
              <c:numCache>
                <c:formatCode>0.00</c:formatCode>
                <c:ptCount val="1"/>
                <c:pt idx="0">
                  <c:v>0.5</c:v>
                </c:pt>
              </c:numCache>
            </c:numRef>
          </c:xVal>
          <c:yVal>
            <c:numRef>
              <c:f>'dbg30'!$T$4</c:f>
              <c:numCache>
                <c:formatCode>0.000_ ;[Red]\-0.000\ </c:formatCode>
                <c:ptCount val="1"/>
                <c:pt idx="0">
                  <c:v>0.5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995-4BE7-A1D1-58C3354EF0C6}"/>
            </c:ext>
          </c:extLst>
        </c:ser>
        <c:ser>
          <c:idx val="0"/>
          <c:order val="5"/>
          <c:tx>
            <c:v>dEu Goal</c:v>
          </c:tx>
          <c:spPr>
            <a:ln w="15875">
              <a:solidFill>
                <a:srgbClr val="FF0000"/>
              </a:solidFill>
            </a:ln>
          </c:spPr>
          <c:marker>
            <c:symbol val="circle"/>
            <c:size val="3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'dbg30'!$AC$4:$AC$5</c:f>
              <c:numCache>
                <c:formatCode>General</c:formatCode>
                <c:ptCount val="2"/>
                <c:pt idx="0">
                  <c:v>1.071427380952381E-5</c:v>
                </c:pt>
                <c:pt idx="1">
                  <c:v>1000</c:v>
                </c:pt>
              </c:numCache>
            </c:numRef>
          </c:xVal>
          <c:yVal>
            <c:numRef>
              <c:f>'dbg30'!$AD$4:$AD$5</c:f>
              <c:numCache>
                <c:formatCode>0.000_ ;[Red]\-0.000\ 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995-4BE7-A1D1-58C3354EF0C6}"/>
            </c:ext>
          </c:extLst>
        </c:ser>
        <c:ser>
          <c:idx val="6"/>
          <c:order val="6"/>
          <c:tx>
            <c:v>E20 stop</c:v>
          </c:tx>
          <c:spPr>
            <a:ln>
              <a:noFill/>
            </a:ln>
          </c:spPr>
          <c:marker>
            <c:symbol val="triangle"/>
            <c:size val="9"/>
            <c:spPr>
              <a:solidFill>
                <a:srgbClr val="0000FF"/>
              </a:solidFill>
              <a:ln>
                <a:noFill/>
              </a:ln>
            </c:spPr>
          </c:marker>
          <c:xVal>
            <c:numRef>
              <c:f>'dbg30'!$E$19</c:f>
              <c:numCache>
                <c:formatCode>0.000_ </c:formatCode>
                <c:ptCount val="1"/>
                <c:pt idx="0">
                  <c:v>0.15724206349206349</c:v>
                </c:pt>
              </c:numCache>
            </c:numRef>
          </c:xVal>
          <c:yVal>
            <c:numRef>
              <c:f>'dbg30'!$K$19</c:f>
              <c:numCache>
                <c:formatCode>0.000_ </c:formatCode>
                <c:ptCount val="1"/>
                <c:pt idx="0">
                  <c:v>0.15724206349206349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995-4BE7-A1D1-58C3354EF0C6}"/>
            </c:ext>
          </c:extLst>
        </c:ser>
        <c:ser>
          <c:idx val="7"/>
          <c:order val="7"/>
          <c:tx>
            <c:v>dEu Found Eh</c:v>
          </c:tx>
          <c:spPr>
            <a:ln>
              <a:noFill/>
            </a:ln>
          </c:spPr>
          <c:marker>
            <c:symbol val="x"/>
            <c:size val="10"/>
            <c:spPr>
              <a:noFill/>
              <a:ln>
                <a:solidFill>
                  <a:srgbClr val="FF00FF"/>
                </a:solidFill>
              </a:ln>
            </c:spPr>
          </c:marker>
          <c:xVal>
            <c:numRef>
              <c:f>'dbg30'!$E$22</c:f>
              <c:numCache>
                <c:formatCode>0.000</c:formatCode>
                <c:ptCount val="1"/>
                <c:pt idx="0">
                  <c:v>6.8385904761905048</c:v>
                </c:pt>
              </c:numCache>
            </c:numRef>
          </c:xVal>
          <c:yVal>
            <c:numRef>
              <c:f>'dbg30'!$K$22</c:f>
              <c:numCache>
                <c:formatCode>0.000_ </c:formatCode>
                <c:ptCount val="1"/>
                <c:pt idx="0">
                  <c:v>0.49873210236475529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995-4BE7-A1D1-58C3354EF0C6}"/>
            </c:ext>
          </c:extLst>
        </c:ser>
        <c:ser>
          <c:idx val="8"/>
          <c:order val="8"/>
          <c:tx>
            <c:v>dEu Found El</c:v>
          </c:tx>
          <c:spPr>
            <a:ln>
              <a:noFill/>
            </a:ln>
          </c:spPr>
          <c:marker>
            <c:symbol val="x"/>
            <c:size val="10"/>
            <c:spPr>
              <a:noFill/>
              <a:ln>
                <a:solidFill>
                  <a:srgbClr val="006600"/>
                </a:solidFill>
              </a:ln>
            </c:spPr>
          </c:marker>
          <c:xVal>
            <c:numRef>
              <c:f>'dbg30'!$E$24</c:f>
              <c:numCache>
                <c:formatCode>0.000</c:formatCode>
                <c:ptCount val="1"/>
                <c:pt idx="0">
                  <c:v>1.2083847102342786</c:v>
                </c:pt>
              </c:numCache>
            </c:numRef>
          </c:xVal>
          <c:yVal>
            <c:numRef>
              <c:f>'dbg30'!$K$24</c:f>
              <c:numCache>
                <c:formatCode>0.000_ </c:formatCode>
                <c:ptCount val="1"/>
                <c:pt idx="0">
                  <c:v>0.50051038152147898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995-4BE7-A1D1-58C3354EF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701648"/>
        <c:axId val="464702824"/>
      </c:scatterChart>
      <c:valAx>
        <c:axId val="464701648"/>
        <c:scaling>
          <c:logBase val="10"/>
          <c:orientation val="minMax"/>
          <c:min val="1.0000000000000002E-3"/>
        </c:scaling>
        <c:delete val="0"/>
        <c:axPos val="b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</c:majorGridlines>
        <c:minorGridlines>
          <c:spPr>
            <a:ln>
              <a:solidFill>
                <a:srgbClr val="CCECFF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800"/>
                </a:pPr>
                <a:r>
                  <a:rPr lang="en-US" sz="800"/>
                  <a:t>Eu10/20 [MeV/u]</a:t>
                </a:r>
                <a:endParaRPr lang="ja-JP" sz="800"/>
              </a:p>
            </c:rich>
          </c:tx>
          <c:layout>
            <c:manualLayout>
              <c:xMode val="edge"/>
              <c:yMode val="edge"/>
              <c:x val="0.73217916666666671"/>
              <c:y val="0.83282245370370367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cross"/>
        <c:minorTickMark val="in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4702824"/>
        <c:crosses val="autoZero"/>
        <c:crossBetween val="midCat"/>
      </c:valAx>
      <c:valAx>
        <c:axId val="464702824"/>
        <c:scaling>
          <c:logBase val="10"/>
          <c:orientation val="minMax"/>
          <c:min val="1.0000000000000002E-3"/>
        </c:scaling>
        <c:delete val="0"/>
        <c:axPos val="l"/>
        <c:majorGridlines>
          <c:spPr>
            <a:ln w="12700">
              <a:solidFill>
                <a:schemeClr val="tx2"/>
              </a:solidFill>
              <a:prstDash val="sysDash"/>
            </a:ln>
          </c:spPr>
        </c:majorGridlines>
        <c:min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800"/>
                </a:pPr>
                <a:r>
                  <a:rPr lang="en-US" sz="800"/>
                  <a:t>dEu1/2</a:t>
                </a:r>
                <a:r>
                  <a:rPr lang="en-US" sz="800" baseline="0"/>
                  <a:t> [MeV/u]</a:t>
                </a:r>
                <a:endParaRPr lang="ja-JP" sz="800"/>
              </a:p>
            </c:rich>
          </c:tx>
          <c:layout>
            <c:manualLayout>
              <c:xMode val="edge"/>
              <c:yMode val="edge"/>
              <c:x val="3.9508333333333331E-3"/>
              <c:y val="0.63025555555555568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cross"/>
        <c:minorTickMark val="out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464701648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3.1611111111111108E-4"/>
          <c:y val="0.84514398148148151"/>
          <c:w val="0.68218388888888892"/>
          <c:h val="0.1530921296296296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3175">
      <a:noFill/>
    </a:ln>
  </c:spPr>
  <c:txPr>
    <a:bodyPr/>
    <a:lstStyle/>
    <a:p>
      <a:pPr>
        <a:defRPr b="0" baseline="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n-US" sz="1000" b="1"/>
              <a:t>Eu</a:t>
            </a:r>
            <a:r>
              <a:rPr lang="en-US" sz="1000" b="1" baseline="0"/>
              <a:t> </a:t>
            </a:r>
            <a:r>
              <a:rPr lang="en-US" sz="1000" b="1"/>
              <a:t>dEt Table search</a:t>
            </a:r>
          </a:p>
        </c:rich>
      </c:tx>
      <c:layout>
        <c:manualLayout>
          <c:xMode val="edge"/>
          <c:yMode val="edge"/>
          <c:x val="1.3598055555555561E-2"/>
          <c:y val="5.4398148148148149E-3"/>
        </c:manualLayout>
      </c:layout>
      <c:overlay val="1"/>
      <c:spPr>
        <a:solidFill>
          <a:schemeClr val="bg1"/>
        </a:solidFill>
        <a:ln>
          <a:solidFill>
            <a:srgbClr val="00B05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1338527777777777"/>
          <c:y val="7.9375000000000001E-2"/>
          <c:w val="0.83222805555555557"/>
          <c:h val="0.73564814814814816"/>
        </c:manualLayout>
      </c:layout>
      <c:scatterChart>
        <c:scatterStyle val="lineMarker"/>
        <c:varyColors val="0"/>
        <c:ser>
          <c:idx val="2"/>
          <c:order val="0"/>
          <c:tx>
            <c:v>ws1 dEt1</c:v>
          </c:tx>
          <c:spPr>
            <a:ln w="12700">
              <a:solidFill>
                <a:srgbClr val="6600FF"/>
              </a:solidFill>
            </a:ln>
          </c:spPr>
          <c:marker>
            <c:symbol val="circle"/>
            <c:size val="3"/>
            <c:spPr>
              <a:noFill/>
              <a:ln>
                <a:solidFill>
                  <a:srgbClr val="6600FF"/>
                </a:solidFill>
              </a:ln>
            </c:spPr>
          </c:marker>
          <c:xVal>
            <c:numRef>
              <c:f>'dbg30'!$P$11:$P$219</c:f>
              <c:numCache>
                <c:formatCode>0.00000_ </c:formatCode>
                <c:ptCount val="209"/>
                <c:pt idx="0">
                  <c:v>9.9999750000000008E-6</c:v>
                </c:pt>
                <c:pt idx="1">
                  <c:v>1.1249975000000001E-5</c:v>
                </c:pt>
                <c:pt idx="2">
                  <c:v>1.2499975000000001E-5</c:v>
                </c:pt>
                <c:pt idx="3">
                  <c:v>1.3749975E-5</c:v>
                </c:pt>
                <c:pt idx="4">
                  <c:v>1.4999975E-5</c:v>
                </c:pt>
                <c:pt idx="5">
                  <c:v>1.6249975E-5</c:v>
                </c:pt>
                <c:pt idx="6">
                  <c:v>1.7499975E-5</c:v>
                </c:pt>
                <c:pt idx="7">
                  <c:v>1.9999975E-5</c:v>
                </c:pt>
                <c:pt idx="8">
                  <c:v>2.2499975000000003E-5</c:v>
                </c:pt>
                <c:pt idx="9">
                  <c:v>2.4999975000000003E-5</c:v>
                </c:pt>
                <c:pt idx="10">
                  <c:v>2.7500000000000001E-5</c:v>
                </c:pt>
                <c:pt idx="11">
                  <c:v>2.9999999999999997E-5</c:v>
                </c:pt>
                <c:pt idx="12">
                  <c:v>3.2499999999999997E-5</c:v>
                </c:pt>
                <c:pt idx="13">
                  <c:v>3.4999999999999997E-5</c:v>
                </c:pt>
                <c:pt idx="14">
                  <c:v>3.7500000000000003E-5</c:v>
                </c:pt>
                <c:pt idx="15">
                  <c:v>4.0000000000000003E-5</c:v>
                </c:pt>
                <c:pt idx="16">
                  <c:v>4.2499999999999996E-5</c:v>
                </c:pt>
                <c:pt idx="17">
                  <c:v>4.4999999999999996E-5</c:v>
                </c:pt>
                <c:pt idx="18">
                  <c:v>5.0000000000000002E-5</c:v>
                </c:pt>
                <c:pt idx="19">
                  <c:v>5.6249999999999998E-5</c:v>
                </c:pt>
                <c:pt idx="20">
                  <c:v>6.2500000000000001E-5</c:v>
                </c:pt>
                <c:pt idx="21">
                  <c:v>6.8749999999999991E-5</c:v>
                </c:pt>
                <c:pt idx="22">
                  <c:v>7.5000000000000007E-5</c:v>
                </c:pt>
                <c:pt idx="23">
                  <c:v>8.1249999999999996E-5</c:v>
                </c:pt>
                <c:pt idx="24">
                  <c:v>8.7499999999999999E-5</c:v>
                </c:pt>
                <c:pt idx="25">
                  <c:v>9.3750000000000002E-5</c:v>
                </c:pt>
                <c:pt idx="26">
                  <c:v>1E-4</c:v>
                </c:pt>
                <c:pt idx="27">
                  <c:v>1.125E-4</c:v>
                </c:pt>
                <c:pt idx="28">
                  <c:v>1.25E-4</c:v>
                </c:pt>
                <c:pt idx="29">
                  <c:v>1.3749999999999998E-4</c:v>
                </c:pt>
                <c:pt idx="30">
                  <c:v>1.5000000000000001E-4</c:v>
                </c:pt>
                <c:pt idx="31">
                  <c:v>1.6249999999999999E-4</c:v>
                </c:pt>
                <c:pt idx="32">
                  <c:v>1.75E-4</c:v>
                </c:pt>
                <c:pt idx="33">
                  <c:v>2.0000000000000001E-4</c:v>
                </c:pt>
                <c:pt idx="34">
                  <c:v>2.2499999999999999E-4</c:v>
                </c:pt>
                <c:pt idx="35">
                  <c:v>2.5000000000000001E-4</c:v>
                </c:pt>
                <c:pt idx="36">
                  <c:v>2.7499999999999996E-4</c:v>
                </c:pt>
                <c:pt idx="37">
                  <c:v>3.0000000000000003E-4</c:v>
                </c:pt>
                <c:pt idx="38">
                  <c:v>3.2499999999999999E-4</c:v>
                </c:pt>
                <c:pt idx="39">
                  <c:v>3.5E-4</c:v>
                </c:pt>
                <c:pt idx="40">
                  <c:v>3.7500000000000001E-4</c:v>
                </c:pt>
                <c:pt idx="41">
                  <c:v>4.0000000000000002E-4</c:v>
                </c:pt>
                <c:pt idx="42">
                  <c:v>4.2500000000000003E-4</c:v>
                </c:pt>
                <c:pt idx="43">
                  <c:v>4.4999999999999999E-4</c:v>
                </c:pt>
                <c:pt idx="44">
                  <c:v>5.0000000000000001E-4</c:v>
                </c:pt>
                <c:pt idx="45">
                  <c:v>5.6249999999999996E-4</c:v>
                </c:pt>
                <c:pt idx="46">
                  <c:v>6.2500000000000001E-4</c:v>
                </c:pt>
                <c:pt idx="47">
                  <c:v>6.8749999999999996E-4</c:v>
                </c:pt>
                <c:pt idx="48">
                  <c:v>7.5000000000000002E-4</c:v>
                </c:pt>
                <c:pt idx="49">
                  <c:v>8.1250000000000007E-4</c:v>
                </c:pt>
                <c:pt idx="50">
                  <c:v>8.7500000000000013E-4</c:v>
                </c:pt>
                <c:pt idx="51">
                  <c:v>9.3749999999999997E-4</c:v>
                </c:pt>
                <c:pt idx="52">
                  <c:v>1E-3</c:v>
                </c:pt>
                <c:pt idx="53">
                  <c:v>1.1249999999999999E-3</c:v>
                </c:pt>
                <c:pt idx="54">
                  <c:v>1.25E-3</c:v>
                </c:pt>
                <c:pt idx="55">
                  <c:v>1.3749999999999999E-3</c:v>
                </c:pt>
                <c:pt idx="56">
                  <c:v>1.5E-3</c:v>
                </c:pt>
                <c:pt idx="57">
                  <c:v>1.6250000000000001E-3</c:v>
                </c:pt>
                <c:pt idx="58">
                  <c:v>1.7500000000000003E-3</c:v>
                </c:pt>
                <c:pt idx="59">
                  <c:v>2E-3</c:v>
                </c:pt>
                <c:pt idx="60">
                  <c:v>2.2499999999999998E-3</c:v>
                </c:pt>
                <c:pt idx="61">
                  <c:v>2.5000000000000001E-3</c:v>
                </c:pt>
                <c:pt idx="62">
                  <c:v>2.7499999999999998E-3</c:v>
                </c:pt>
                <c:pt idx="63">
                  <c:v>3.0000000000000001E-3</c:v>
                </c:pt>
                <c:pt idx="64">
                  <c:v>3.2500000000000003E-3</c:v>
                </c:pt>
                <c:pt idx="65">
                  <c:v>3.5000000000000005E-3</c:v>
                </c:pt>
                <c:pt idx="66">
                  <c:v>3.7499999999999999E-3</c:v>
                </c:pt>
                <c:pt idx="67">
                  <c:v>4.0000000000000001E-3</c:v>
                </c:pt>
                <c:pt idx="68">
                  <c:v>4.2500000000000003E-3</c:v>
                </c:pt>
                <c:pt idx="69">
                  <c:v>4.4999999999999997E-3</c:v>
                </c:pt>
                <c:pt idx="70">
                  <c:v>5.0000000000000001E-3</c:v>
                </c:pt>
                <c:pt idx="71">
                  <c:v>5.6249999999999998E-3</c:v>
                </c:pt>
                <c:pt idx="72">
                  <c:v>6.2500000000000003E-3</c:v>
                </c:pt>
                <c:pt idx="73">
                  <c:v>6.8750000000000009E-3</c:v>
                </c:pt>
                <c:pt idx="74">
                  <c:v>7.4999999999999997E-3</c:v>
                </c:pt>
                <c:pt idx="75">
                  <c:v>8.1250000000000003E-3</c:v>
                </c:pt>
                <c:pt idx="76">
                  <c:v>8.7499999999999991E-3</c:v>
                </c:pt>
                <c:pt idx="77">
                  <c:v>9.3749999999999997E-3</c:v>
                </c:pt>
                <c:pt idx="78">
                  <c:v>0.01</c:v>
                </c:pt>
                <c:pt idx="79">
                  <c:v>1.125E-2</c:v>
                </c:pt>
                <c:pt idx="80">
                  <c:v>1.2500000000000001E-2</c:v>
                </c:pt>
                <c:pt idx="81">
                  <c:v>1.3750000000000002E-2</c:v>
                </c:pt>
                <c:pt idx="82">
                  <c:v>1.4999999999999999E-2</c:v>
                </c:pt>
                <c:pt idx="83">
                  <c:v>1.6250000000000001E-2</c:v>
                </c:pt>
                <c:pt idx="84">
                  <c:v>1.7499999999999998E-2</c:v>
                </c:pt>
                <c:pt idx="85">
                  <c:v>0.02</c:v>
                </c:pt>
                <c:pt idx="86">
                  <c:v>2.2499999999999999E-2</c:v>
                </c:pt>
                <c:pt idx="87">
                  <c:v>2.5000000000000001E-2</c:v>
                </c:pt>
                <c:pt idx="88">
                  <c:v>2.7500000000000004E-2</c:v>
                </c:pt>
                <c:pt idx="89">
                  <c:v>0.03</c:v>
                </c:pt>
                <c:pt idx="90">
                  <c:v>3.2500000000000001E-2</c:v>
                </c:pt>
                <c:pt idx="91">
                  <c:v>3.4999999999999996E-2</c:v>
                </c:pt>
                <c:pt idx="92">
                  <c:v>3.7499999999999999E-2</c:v>
                </c:pt>
                <c:pt idx="93">
                  <c:v>0.04</c:v>
                </c:pt>
                <c:pt idx="94">
                  <c:v>4.2499999999999996E-2</c:v>
                </c:pt>
                <c:pt idx="95">
                  <c:v>4.4999999999999998E-2</c:v>
                </c:pt>
                <c:pt idx="96">
                  <c:v>0.05</c:v>
                </c:pt>
                <c:pt idx="97">
                  <c:v>5.6250000000000001E-2</c:v>
                </c:pt>
                <c:pt idx="98">
                  <c:v>6.25E-2</c:v>
                </c:pt>
                <c:pt idx="99">
                  <c:v>6.8750000000000006E-2</c:v>
                </c:pt>
                <c:pt idx="100">
                  <c:v>7.4999999999999997E-2</c:v>
                </c:pt>
                <c:pt idx="101">
                  <c:v>8.1250000000000003E-2</c:v>
                </c:pt>
                <c:pt idx="102">
                  <c:v>8.7499999999999994E-2</c:v>
                </c:pt>
                <c:pt idx="103">
                  <c:v>9.375E-2</c:v>
                </c:pt>
                <c:pt idx="104">
                  <c:v>0.1</c:v>
                </c:pt>
                <c:pt idx="105">
                  <c:v>0.1125</c:v>
                </c:pt>
                <c:pt idx="106">
                  <c:v>0.125</c:v>
                </c:pt>
                <c:pt idx="107">
                  <c:v>0.13750000000000001</c:v>
                </c:pt>
                <c:pt idx="108">
                  <c:v>0.15</c:v>
                </c:pt>
                <c:pt idx="109">
                  <c:v>0.16250000000000001</c:v>
                </c:pt>
                <c:pt idx="110">
                  <c:v>0.17499999999999999</c:v>
                </c:pt>
                <c:pt idx="111">
                  <c:v>0.2</c:v>
                </c:pt>
                <c:pt idx="112">
                  <c:v>0.22500000000000001</c:v>
                </c:pt>
                <c:pt idx="113">
                  <c:v>0.25</c:v>
                </c:pt>
                <c:pt idx="114">
                  <c:v>0.27500000000000002</c:v>
                </c:pt>
                <c:pt idx="115">
                  <c:v>0.3</c:v>
                </c:pt>
                <c:pt idx="116">
                  <c:v>0.32500000000000001</c:v>
                </c:pt>
                <c:pt idx="117">
                  <c:v>0.35</c:v>
                </c:pt>
                <c:pt idx="118">
                  <c:v>0.375</c:v>
                </c:pt>
                <c:pt idx="119">
                  <c:v>0.4</c:v>
                </c:pt>
                <c:pt idx="120">
                  <c:v>0.42499999999999999</c:v>
                </c:pt>
                <c:pt idx="121">
                  <c:v>0.45</c:v>
                </c:pt>
                <c:pt idx="122">
                  <c:v>0.5</c:v>
                </c:pt>
                <c:pt idx="123">
                  <c:v>0.5625</c:v>
                </c:pt>
                <c:pt idx="124">
                  <c:v>0.625</c:v>
                </c:pt>
                <c:pt idx="125">
                  <c:v>0.6875</c:v>
                </c:pt>
                <c:pt idx="126">
                  <c:v>0.75</c:v>
                </c:pt>
                <c:pt idx="127">
                  <c:v>0.8125</c:v>
                </c:pt>
                <c:pt idx="128">
                  <c:v>0.875</c:v>
                </c:pt>
                <c:pt idx="129">
                  <c:v>0.9375</c:v>
                </c:pt>
                <c:pt idx="130" formatCode="0.000_ ">
                  <c:v>1</c:v>
                </c:pt>
                <c:pt idx="131" formatCode="0.000_ ">
                  <c:v>1.125</c:v>
                </c:pt>
                <c:pt idx="132" formatCode="0.000_ ">
                  <c:v>1.25</c:v>
                </c:pt>
                <c:pt idx="133" formatCode="0.000_ ">
                  <c:v>1.375</c:v>
                </c:pt>
                <c:pt idx="134" formatCode="0.000_ ">
                  <c:v>1.5</c:v>
                </c:pt>
                <c:pt idx="135" formatCode="0.000_ ">
                  <c:v>1.625</c:v>
                </c:pt>
                <c:pt idx="136" formatCode="0.000_ ">
                  <c:v>1.75</c:v>
                </c:pt>
                <c:pt idx="137" formatCode="0.000_ ">
                  <c:v>2</c:v>
                </c:pt>
                <c:pt idx="138" formatCode="0.000_ ">
                  <c:v>2.25</c:v>
                </c:pt>
                <c:pt idx="139" formatCode="0.000_ ">
                  <c:v>2.5</c:v>
                </c:pt>
                <c:pt idx="140" formatCode="0.000_ ">
                  <c:v>2.75</c:v>
                </c:pt>
                <c:pt idx="141" formatCode="0.000_ ">
                  <c:v>3</c:v>
                </c:pt>
                <c:pt idx="142" formatCode="0.000_ ">
                  <c:v>3.25</c:v>
                </c:pt>
                <c:pt idx="143" formatCode="0.000_ ">
                  <c:v>3.5</c:v>
                </c:pt>
                <c:pt idx="144" formatCode="0.000_ ">
                  <c:v>3.75</c:v>
                </c:pt>
                <c:pt idx="145" formatCode="0.000_ ">
                  <c:v>4</c:v>
                </c:pt>
                <c:pt idx="146" formatCode="0.000_ ">
                  <c:v>4.25</c:v>
                </c:pt>
                <c:pt idx="147" formatCode="0.000_ ">
                  <c:v>4.5</c:v>
                </c:pt>
                <c:pt idx="148" formatCode="0.000_ ">
                  <c:v>5</c:v>
                </c:pt>
                <c:pt idx="149" formatCode="0.000_ ">
                  <c:v>5.625</c:v>
                </c:pt>
                <c:pt idx="150" formatCode="0.000_ ">
                  <c:v>6.25</c:v>
                </c:pt>
                <c:pt idx="151" formatCode="0.000_ ">
                  <c:v>6.875</c:v>
                </c:pt>
                <c:pt idx="152" formatCode="0.000_ ">
                  <c:v>7.5</c:v>
                </c:pt>
                <c:pt idx="153" formatCode="0.000_ ">
                  <c:v>8.125</c:v>
                </c:pt>
                <c:pt idx="154" formatCode="0.000_ ">
                  <c:v>8.75</c:v>
                </c:pt>
                <c:pt idx="155" formatCode="0.000_ ">
                  <c:v>9.375</c:v>
                </c:pt>
                <c:pt idx="156" formatCode="0.000_ ">
                  <c:v>10</c:v>
                </c:pt>
                <c:pt idx="157" formatCode="0.000_ ">
                  <c:v>11.25</c:v>
                </c:pt>
                <c:pt idx="158" formatCode="0.000_ ">
                  <c:v>12.5</c:v>
                </c:pt>
                <c:pt idx="159" formatCode="0.000_ ">
                  <c:v>13.75</c:v>
                </c:pt>
                <c:pt idx="160" formatCode="0.000_ ">
                  <c:v>15</c:v>
                </c:pt>
                <c:pt idx="161" formatCode="0.000_ ">
                  <c:v>16.25</c:v>
                </c:pt>
                <c:pt idx="162" formatCode="0.000_ ">
                  <c:v>17.5</c:v>
                </c:pt>
                <c:pt idx="163" formatCode="0.000_ ">
                  <c:v>20</c:v>
                </c:pt>
                <c:pt idx="164" formatCode="0.000_ ">
                  <c:v>22.5</c:v>
                </c:pt>
                <c:pt idx="165" formatCode="0.000_ ">
                  <c:v>25</c:v>
                </c:pt>
                <c:pt idx="166" formatCode="0.000_ ">
                  <c:v>27.5</c:v>
                </c:pt>
                <c:pt idx="167" formatCode="0.000_ ">
                  <c:v>30</c:v>
                </c:pt>
                <c:pt idx="168" formatCode="0.000_ ">
                  <c:v>32.5</c:v>
                </c:pt>
                <c:pt idx="169" formatCode="0.000_ ">
                  <c:v>35</c:v>
                </c:pt>
                <c:pt idx="170" formatCode="0.000_ ">
                  <c:v>37.5</c:v>
                </c:pt>
                <c:pt idx="171" formatCode="0.000_ ">
                  <c:v>40</c:v>
                </c:pt>
                <c:pt idx="172" formatCode="0.000_ ">
                  <c:v>42.5</c:v>
                </c:pt>
                <c:pt idx="173" formatCode="0.000_ ">
                  <c:v>45</c:v>
                </c:pt>
                <c:pt idx="174" formatCode="0.000_ ">
                  <c:v>50</c:v>
                </c:pt>
                <c:pt idx="175" formatCode="0.000_ ">
                  <c:v>56.25</c:v>
                </c:pt>
                <c:pt idx="176" formatCode="0.000_ ">
                  <c:v>62.5</c:v>
                </c:pt>
                <c:pt idx="177" formatCode="0.000_ ">
                  <c:v>68.75</c:v>
                </c:pt>
                <c:pt idx="178" formatCode="0.000_ ">
                  <c:v>75</c:v>
                </c:pt>
                <c:pt idx="179" formatCode="0.000_ ">
                  <c:v>81.25</c:v>
                </c:pt>
                <c:pt idx="180" formatCode="0.000_ ">
                  <c:v>87.5</c:v>
                </c:pt>
                <c:pt idx="181" formatCode="0.000_ ">
                  <c:v>93.75</c:v>
                </c:pt>
                <c:pt idx="182" formatCode="0.00_ ">
                  <c:v>100</c:v>
                </c:pt>
                <c:pt idx="183" formatCode="0.00_ ">
                  <c:v>112.5</c:v>
                </c:pt>
                <c:pt idx="184" formatCode="0.00_ ">
                  <c:v>125</c:v>
                </c:pt>
                <c:pt idx="185" formatCode="0.00_ ">
                  <c:v>137.5</c:v>
                </c:pt>
                <c:pt idx="186" formatCode="0.00_ ">
                  <c:v>150</c:v>
                </c:pt>
                <c:pt idx="187" formatCode="0.00_ ">
                  <c:v>162.5</c:v>
                </c:pt>
                <c:pt idx="188" formatCode="0.00_ ">
                  <c:v>175</c:v>
                </c:pt>
                <c:pt idx="189" formatCode="0.00_ ">
                  <c:v>200</c:v>
                </c:pt>
                <c:pt idx="190" formatCode="0.00_ ">
                  <c:v>225</c:v>
                </c:pt>
                <c:pt idx="191" formatCode="0.00_ ">
                  <c:v>250</c:v>
                </c:pt>
                <c:pt idx="192" formatCode="0.00_ ">
                  <c:v>275</c:v>
                </c:pt>
                <c:pt idx="193" formatCode="0.00_ ">
                  <c:v>300</c:v>
                </c:pt>
                <c:pt idx="194" formatCode="0.00_ ">
                  <c:v>325</c:v>
                </c:pt>
                <c:pt idx="195" formatCode="0.00_ ">
                  <c:v>350</c:v>
                </c:pt>
                <c:pt idx="196" formatCode="0.00_ ">
                  <c:v>375</c:v>
                </c:pt>
                <c:pt idx="197" formatCode="0.00_ ">
                  <c:v>400</c:v>
                </c:pt>
                <c:pt idx="198" formatCode="0.00_ ">
                  <c:v>425</c:v>
                </c:pt>
                <c:pt idx="199" formatCode="0.00_ ">
                  <c:v>450</c:v>
                </c:pt>
                <c:pt idx="200" formatCode="0.00_ ">
                  <c:v>500</c:v>
                </c:pt>
                <c:pt idx="201" formatCode="0.00_ ">
                  <c:v>562.5</c:v>
                </c:pt>
                <c:pt idx="202" formatCode="0.00_ ">
                  <c:v>625</c:v>
                </c:pt>
                <c:pt idx="203" formatCode="0.00_ ">
                  <c:v>687.5</c:v>
                </c:pt>
                <c:pt idx="204" formatCode="0.00_ ">
                  <c:v>750</c:v>
                </c:pt>
                <c:pt idx="205" formatCode="0.00_ ">
                  <c:v>812.5</c:v>
                </c:pt>
                <c:pt idx="206" formatCode="0.00_ ">
                  <c:v>875</c:v>
                </c:pt>
                <c:pt idx="207" formatCode="0.00_ ">
                  <c:v>937.5</c:v>
                </c:pt>
                <c:pt idx="208" formatCode="0.00_ ">
                  <c:v>1000</c:v>
                </c:pt>
              </c:numCache>
            </c:numRef>
          </c:xVal>
          <c:yVal>
            <c:numRef>
              <c:f>'dbg30'!$V$11:$V$219</c:f>
              <c:numCache>
                <c:formatCode>0.000_ </c:formatCode>
                <c:ptCount val="20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49.213538461538462</c:v>
                </c:pt>
                <c:pt idx="133">
                  <c:v>53.020037105751392</c:v>
                </c:pt>
                <c:pt idx="134">
                  <c:v>56.567727272727275</c:v>
                </c:pt>
                <c:pt idx="135">
                  <c:v>59.777777777777779</c:v>
                </c:pt>
                <c:pt idx="136">
                  <c:v>62.533333333333331</c:v>
                </c:pt>
                <c:pt idx="137">
                  <c:v>66.7</c:v>
                </c:pt>
                <c:pt idx="138">
                  <c:v>68.928571428571416</c:v>
                </c:pt>
                <c:pt idx="139">
                  <c:v>69.73684210526315</c:v>
                </c:pt>
                <c:pt idx="140">
                  <c:v>69.583333333333329</c:v>
                </c:pt>
                <c:pt idx="141">
                  <c:v>69.285714285714278</c:v>
                </c:pt>
                <c:pt idx="142">
                  <c:v>68.428571428571431</c:v>
                </c:pt>
                <c:pt idx="143">
                  <c:v>67.464788732394368</c:v>
                </c:pt>
                <c:pt idx="144">
                  <c:v>66.527777777777786</c:v>
                </c:pt>
                <c:pt idx="145">
                  <c:v>65.61643835616438</c:v>
                </c:pt>
                <c:pt idx="146">
                  <c:v>64.594594594594597</c:v>
                </c:pt>
                <c:pt idx="147">
                  <c:v>63.648648648648667</c:v>
                </c:pt>
                <c:pt idx="148">
                  <c:v>61.79487179487181</c:v>
                </c:pt>
                <c:pt idx="149">
                  <c:v>59.691358024691361</c:v>
                </c:pt>
                <c:pt idx="150">
                  <c:v>57.784431137724539</c:v>
                </c:pt>
                <c:pt idx="151">
                  <c:v>56.074766355140184</c:v>
                </c:pt>
                <c:pt idx="152">
                  <c:v>54.411764705882355</c:v>
                </c:pt>
                <c:pt idx="153">
                  <c:v>52.973568281938306</c:v>
                </c:pt>
                <c:pt idx="154">
                  <c:v>51.602564102564088</c:v>
                </c:pt>
                <c:pt idx="155">
                  <c:v>50.209205020920464</c:v>
                </c:pt>
                <c:pt idx="156">
                  <c:v>49.00793650793652</c:v>
                </c:pt>
                <c:pt idx="157">
                  <c:v>46.728971962616797</c:v>
                </c:pt>
                <c:pt idx="158">
                  <c:v>44.563279857397475</c:v>
                </c:pt>
                <c:pt idx="159">
                  <c:v>42.517006802721085</c:v>
                </c:pt>
                <c:pt idx="160">
                  <c:v>40.716612377850154</c:v>
                </c:pt>
                <c:pt idx="161">
                  <c:v>39.001560062402518</c:v>
                </c:pt>
                <c:pt idx="162">
                  <c:v>37.313432835820919</c:v>
                </c:pt>
                <c:pt idx="163">
                  <c:v>35.137034434293781</c:v>
                </c:pt>
                <c:pt idx="164">
                  <c:v>32.57328990228018</c:v>
                </c:pt>
                <c:pt idx="165">
                  <c:v>30.432136335970768</c:v>
                </c:pt>
                <c:pt idx="166">
                  <c:v>28.63688430698744</c:v>
                </c:pt>
                <c:pt idx="167">
                  <c:v>27.218290691344578</c:v>
                </c:pt>
                <c:pt idx="168">
                  <c:v>25.933609958506167</c:v>
                </c:pt>
                <c:pt idx="169">
                  <c:v>24.691358024691397</c:v>
                </c:pt>
                <c:pt idx="170">
                  <c:v>23.573785950023591</c:v>
                </c:pt>
                <c:pt idx="171">
                  <c:v>22.573363431151279</c:v>
                </c:pt>
                <c:pt idx="172">
                  <c:v>21.673168617251974</c:v>
                </c:pt>
                <c:pt idx="173">
                  <c:v>20.859407592824368</c:v>
                </c:pt>
                <c:pt idx="174">
                  <c:v>19.739439399920968</c:v>
                </c:pt>
                <c:pt idx="175">
                  <c:v>18.274853801169684</c:v>
                </c:pt>
                <c:pt idx="176">
                  <c:v>16.896458502297946</c:v>
                </c:pt>
                <c:pt idx="177">
                  <c:v>15.749023560539399</c:v>
                </c:pt>
                <c:pt idx="178">
                  <c:v>14.775413711583951</c:v>
                </c:pt>
                <c:pt idx="179">
                  <c:v>13.938447814451251</c:v>
                </c:pt>
                <c:pt idx="180">
                  <c:v>13.212134023887643</c:v>
                </c:pt>
                <c:pt idx="181">
                  <c:v>12.574187707473925</c:v>
                </c:pt>
                <c:pt idx="182">
                  <c:v>11.812511812511843</c:v>
                </c:pt>
                <c:pt idx="183">
                  <c:v>11.36363636363626</c:v>
                </c:pt>
                <c:pt idx="184">
                  <c:v>10.416666666666856</c:v>
                </c:pt>
                <c:pt idx="185">
                  <c:v>10</c:v>
                </c:pt>
                <c:pt idx="186">
                  <c:v>8.9285714285711038</c:v>
                </c:pt>
                <c:pt idx="187">
                  <c:v>8.9285714285711038</c:v>
                </c:pt>
                <c:pt idx="188">
                  <c:v>8.3333333333337123</c:v>
                </c:pt>
                <c:pt idx="189">
                  <c:v>7.8125</c:v>
                </c:pt>
                <c:pt idx="190">
                  <c:v>7.246376811593791</c:v>
                </c:pt>
                <c:pt idx="191">
                  <c:v>6.7567567567562037</c:v>
                </c:pt>
                <c:pt idx="192">
                  <c:v>6.410256410256352</c:v>
                </c:pt>
                <c:pt idx="193">
                  <c:v>6.0240963855426344</c:v>
                </c:pt>
                <c:pt idx="194">
                  <c:v>5.8823529411756681</c:v>
                </c:pt>
                <c:pt idx="195">
                  <c:v>5.6179775280907052</c:v>
                </c:pt>
                <c:pt idx="196">
                  <c:v>5.3763440860211631</c:v>
                </c:pt>
                <c:pt idx="197">
                  <c:v>5.2631578947375601</c:v>
                </c:pt>
                <c:pt idx="198">
                  <c:v>5.1020408163276443</c:v>
                </c:pt>
                <c:pt idx="199">
                  <c:v>5</c:v>
                </c:pt>
                <c:pt idx="200">
                  <c:v>4.8076923076928324</c:v>
                </c:pt>
                <c:pt idx="201">
                  <c:v>4.5955882352927802</c:v>
                </c:pt>
                <c:pt idx="202">
                  <c:v>4.4326241134740485</c:v>
                </c:pt>
                <c:pt idx="203">
                  <c:v>4.2808219178095896</c:v>
                </c:pt>
                <c:pt idx="204">
                  <c:v>4.1666666666651508</c:v>
                </c:pt>
                <c:pt idx="205">
                  <c:v>4.0849673202592385</c:v>
                </c:pt>
                <c:pt idx="206">
                  <c:v>3.9936102236424631</c:v>
                </c:pt>
                <c:pt idx="207">
                  <c:v>3.9432176656146112</c:v>
                </c:pt>
                <c:pt idx="208">
                  <c:v>3.8819875776380286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7B5-47B7-A394-65373099B632}"/>
            </c:ext>
          </c:extLst>
        </c:ser>
        <c:ser>
          <c:idx val="1"/>
          <c:order val="1"/>
          <c:tx>
            <c:v>ws1 dEt1 stop</c:v>
          </c:tx>
          <c:spPr>
            <a:ln w="12700">
              <a:solidFill>
                <a:srgbClr val="CC66FF"/>
              </a:solidFill>
            </a:ln>
          </c:spPr>
          <c:marker>
            <c:symbol val="circle"/>
            <c:size val="2"/>
            <c:spPr>
              <a:solidFill>
                <a:srgbClr val="CC66FF"/>
              </a:solidFill>
              <a:ln>
                <a:noFill/>
              </a:ln>
            </c:spPr>
          </c:marker>
          <c:xVal>
            <c:numRef>
              <c:f>'dbg30'!$P$11:$P$219</c:f>
              <c:numCache>
                <c:formatCode>0.00000_ </c:formatCode>
                <c:ptCount val="209"/>
                <c:pt idx="0">
                  <c:v>9.9999750000000008E-6</c:v>
                </c:pt>
                <c:pt idx="1">
                  <c:v>1.1249975000000001E-5</c:v>
                </c:pt>
                <c:pt idx="2">
                  <c:v>1.2499975000000001E-5</c:v>
                </c:pt>
                <c:pt idx="3">
                  <c:v>1.3749975E-5</c:v>
                </c:pt>
                <c:pt idx="4">
                  <c:v>1.4999975E-5</c:v>
                </c:pt>
                <c:pt idx="5">
                  <c:v>1.6249975E-5</c:v>
                </c:pt>
                <c:pt idx="6">
                  <c:v>1.7499975E-5</c:v>
                </c:pt>
                <c:pt idx="7">
                  <c:v>1.9999975E-5</c:v>
                </c:pt>
                <c:pt idx="8">
                  <c:v>2.2499975000000003E-5</c:v>
                </c:pt>
                <c:pt idx="9">
                  <c:v>2.4999975000000003E-5</c:v>
                </c:pt>
                <c:pt idx="10">
                  <c:v>2.7500000000000001E-5</c:v>
                </c:pt>
                <c:pt idx="11">
                  <c:v>2.9999999999999997E-5</c:v>
                </c:pt>
                <c:pt idx="12">
                  <c:v>3.2499999999999997E-5</c:v>
                </c:pt>
                <c:pt idx="13">
                  <c:v>3.4999999999999997E-5</c:v>
                </c:pt>
                <c:pt idx="14">
                  <c:v>3.7500000000000003E-5</c:v>
                </c:pt>
                <c:pt idx="15">
                  <c:v>4.0000000000000003E-5</c:v>
                </c:pt>
                <c:pt idx="16">
                  <c:v>4.2499999999999996E-5</c:v>
                </c:pt>
                <c:pt idx="17">
                  <c:v>4.4999999999999996E-5</c:v>
                </c:pt>
                <c:pt idx="18">
                  <c:v>5.0000000000000002E-5</c:v>
                </c:pt>
                <c:pt idx="19">
                  <c:v>5.6249999999999998E-5</c:v>
                </c:pt>
                <c:pt idx="20">
                  <c:v>6.2500000000000001E-5</c:v>
                </c:pt>
                <c:pt idx="21">
                  <c:v>6.8749999999999991E-5</c:v>
                </c:pt>
                <c:pt idx="22">
                  <c:v>7.5000000000000007E-5</c:v>
                </c:pt>
                <c:pt idx="23">
                  <c:v>8.1249999999999996E-5</c:v>
                </c:pt>
                <c:pt idx="24">
                  <c:v>8.7499999999999999E-5</c:v>
                </c:pt>
                <c:pt idx="25">
                  <c:v>9.3750000000000002E-5</c:v>
                </c:pt>
                <c:pt idx="26">
                  <c:v>1E-4</c:v>
                </c:pt>
                <c:pt idx="27">
                  <c:v>1.125E-4</c:v>
                </c:pt>
                <c:pt idx="28">
                  <c:v>1.25E-4</c:v>
                </c:pt>
                <c:pt idx="29">
                  <c:v>1.3749999999999998E-4</c:v>
                </c:pt>
                <c:pt idx="30">
                  <c:v>1.5000000000000001E-4</c:v>
                </c:pt>
                <c:pt idx="31">
                  <c:v>1.6249999999999999E-4</c:v>
                </c:pt>
                <c:pt idx="32">
                  <c:v>1.75E-4</c:v>
                </c:pt>
                <c:pt idx="33">
                  <c:v>2.0000000000000001E-4</c:v>
                </c:pt>
                <c:pt idx="34">
                  <c:v>2.2499999999999999E-4</c:v>
                </c:pt>
                <c:pt idx="35">
                  <c:v>2.5000000000000001E-4</c:v>
                </c:pt>
                <c:pt idx="36">
                  <c:v>2.7499999999999996E-4</c:v>
                </c:pt>
                <c:pt idx="37">
                  <c:v>3.0000000000000003E-4</c:v>
                </c:pt>
                <c:pt idx="38">
                  <c:v>3.2499999999999999E-4</c:v>
                </c:pt>
                <c:pt idx="39">
                  <c:v>3.5E-4</c:v>
                </c:pt>
                <c:pt idx="40">
                  <c:v>3.7500000000000001E-4</c:v>
                </c:pt>
                <c:pt idx="41">
                  <c:v>4.0000000000000002E-4</c:v>
                </c:pt>
                <c:pt idx="42">
                  <c:v>4.2500000000000003E-4</c:v>
                </c:pt>
                <c:pt idx="43">
                  <c:v>4.4999999999999999E-4</c:v>
                </c:pt>
                <c:pt idx="44">
                  <c:v>5.0000000000000001E-4</c:v>
                </c:pt>
                <c:pt idx="45">
                  <c:v>5.6249999999999996E-4</c:v>
                </c:pt>
                <c:pt idx="46">
                  <c:v>6.2500000000000001E-4</c:v>
                </c:pt>
                <c:pt idx="47">
                  <c:v>6.8749999999999996E-4</c:v>
                </c:pt>
                <c:pt idx="48">
                  <c:v>7.5000000000000002E-4</c:v>
                </c:pt>
                <c:pt idx="49">
                  <c:v>8.1250000000000007E-4</c:v>
                </c:pt>
                <c:pt idx="50">
                  <c:v>8.7500000000000013E-4</c:v>
                </c:pt>
                <c:pt idx="51">
                  <c:v>9.3749999999999997E-4</c:v>
                </c:pt>
                <c:pt idx="52">
                  <c:v>1E-3</c:v>
                </c:pt>
                <c:pt idx="53">
                  <c:v>1.1249999999999999E-3</c:v>
                </c:pt>
                <c:pt idx="54">
                  <c:v>1.25E-3</c:v>
                </c:pt>
                <c:pt idx="55">
                  <c:v>1.3749999999999999E-3</c:v>
                </c:pt>
                <c:pt idx="56">
                  <c:v>1.5E-3</c:v>
                </c:pt>
                <c:pt idx="57">
                  <c:v>1.6250000000000001E-3</c:v>
                </c:pt>
                <c:pt idx="58">
                  <c:v>1.7500000000000003E-3</c:v>
                </c:pt>
                <c:pt idx="59">
                  <c:v>2E-3</c:v>
                </c:pt>
                <c:pt idx="60">
                  <c:v>2.2499999999999998E-3</c:v>
                </c:pt>
                <c:pt idx="61">
                  <c:v>2.5000000000000001E-3</c:v>
                </c:pt>
                <c:pt idx="62">
                  <c:v>2.7499999999999998E-3</c:v>
                </c:pt>
                <c:pt idx="63">
                  <c:v>3.0000000000000001E-3</c:v>
                </c:pt>
                <c:pt idx="64">
                  <c:v>3.2500000000000003E-3</c:v>
                </c:pt>
                <c:pt idx="65">
                  <c:v>3.5000000000000005E-3</c:v>
                </c:pt>
                <c:pt idx="66">
                  <c:v>3.7499999999999999E-3</c:v>
                </c:pt>
                <c:pt idx="67">
                  <c:v>4.0000000000000001E-3</c:v>
                </c:pt>
                <c:pt idx="68">
                  <c:v>4.2500000000000003E-3</c:v>
                </c:pt>
                <c:pt idx="69">
                  <c:v>4.4999999999999997E-3</c:v>
                </c:pt>
                <c:pt idx="70">
                  <c:v>5.0000000000000001E-3</c:v>
                </c:pt>
                <c:pt idx="71">
                  <c:v>5.6249999999999998E-3</c:v>
                </c:pt>
                <c:pt idx="72">
                  <c:v>6.2500000000000003E-3</c:v>
                </c:pt>
                <c:pt idx="73">
                  <c:v>6.8750000000000009E-3</c:v>
                </c:pt>
                <c:pt idx="74">
                  <c:v>7.4999999999999997E-3</c:v>
                </c:pt>
                <c:pt idx="75">
                  <c:v>8.1250000000000003E-3</c:v>
                </c:pt>
                <c:pt idx="76">
                  <c:v>8.7499999999999991E-3</c:v>
                </c:pt>
                <c:pt idx="77">
                  <c:v>9.3749999999999997E-3</c:v>
                </c:pt>
                <c:pt idx="78">
                  <c:v>0.01</c:v>
                </c:pt>
                <c:pt idx="79">
                  <c:v>1.125E-2</c:v>
                </c:pt>
                <c:pt idx="80">
                  <c:v>1.2500000000000001E-2</c:v>
                </c:pt>
                <c:pt idx="81">
                  <c:v>1.3750000000000002E-2</c:v>
                </c:pt>
                <c:pt idx="82">
                  <c:v>1.4999999999999999E-2</c:v>
                </c:pt>
                <c:pt idx="83">
                  <c:v>1.6250000000000001E-2</c:v>
                </c:pt>
                <c:pt idx="84">
                  <c:v>1.7499999999999998E-2</c:v>
                </c:pt>
                <c:pt idx="85">
                  <c:v>0.02</c:v>
                </c:pt>
                <c:pt idx="86">
                  <c:v>2.2499999999999999E-2</c:v>
                </c:pt>
                <c:pt idx="87">
                  <c:v>2.5000000000000001E-2</c:v>
                </c:pt>
                <c:pt idx="88">
                  <c:v>2.7500000000000004E-2</c:v>
                </c:pt>
                <c:pt idx="89">
                  <c:v>0.03</c:v>
                </c:pt>
                <c:pt idx="90">
                  <c:v>3.2500000000000001E-2</c:v>
                </c:pt>
                <c:pt idx="91">
                  <c:v>3.4999999999999996E-2</c:v>
                </c:pt>
                <c:pt idx="92">
                  <c:v>3.7499999999999999E-2</c:v>
                </c:pt>
                <c:pt idx="93">
                  <c:v>0.04</c:v>
                </c:pt>
                <c:pt idx="94">
                  <c:v>4.2499999999999996E-2</c:v>
                </c:pt>
                <c:pt idx="95">
                  <c:v>4.4999999999999998E-2</c:v>
                </c:pt>
                <c:pt idx="96">
                  <c:v>0.05</c:v>
                </c:pt>
                <c:pt idx="97">
                  <c:v>5.6250000000000001E-2</c:v>
                </c:pt>
                <c:pt idx="98">
                  <c:v>6.25E-2</c:v>
                </c:pt>
                <c:pt idx="99">
                  <c:v>6.8750000000000006E-2</c:v>
                </c:pt>
                <c:pt idx="100">
                  <c:v>7.4999999999999997E-2</c:v>
                </c:pt>
                <c:pt idx="101">
                  <c:v>8.1250000000000003E-2</c:v>
                </c:pt>
                <c:pt idx="102">
                  <c:v>8.7499999999999994E-2</c:v>
                </c:pt>
                <c:pt idx="103">
                  <c:v>9.375E-2</c:v>
                </c:pt>
                <c:pt idx="104">
                  <c:v>0.1</c:v>
                </c:pt>
                <c:pt idx="105">
                  <c:v>0.1125</c:v>
                </c:pt>
                <c:pt idx="106">
                  <c:v>0.125</c:v>
                </c:pt>
                <c:pt idx="107">
                  <c:v>0.13750000000000001</c:v>
                </c:pt>
                <c:pt idx="108">
                  <c:v>0.15</c:v>
                </c:pt>
                <c:pt idx="109">
                  <c:v>0.16250000000000001</c:v>
                </c:pt>
                <c:pt idx="110">
                  <c:v>0.17499999999999999</c:v>
                </c:pt>
                <c:pt idx="111">
                  <c:v>0.2</c:v>
                </c:pt>
                <c:pt idx="112">
                  <c:v>0.22500000000000001</c:v>
                </c:pt>
                <c:pt idx="113">
                  <c:v>0.25</c:v>
                </c:pt>
                <c:pt idx="114">
                  <c:v>0.27500000000000002</c:v>
                </c:pt>
                <c:pt idx="115">
                  <c:v>0.3</c:v>
                </c:pt>
                <c:pt idx="116">
                  <c:v>0.32500000000000001</c:v>
                </c:pt>
                <c:pt idx="117">
                  <c:v>0.35</c:v>
                </c:pt>
                <c:pt idx="118">
                  <c:v>0.375</c:v>
                </c:pt>
                <c:pt idx="119">
                  <c:v>0.4</c:v>
                </c:pt>
                <c:pt idx="120">
                  <c:v>0.42499999999999999</c:v>
                </c:pt>
                <c:pt idx="121">
                  <c:v>0.45</c:v>
                </c:pt>
                <c:pt idx="122">
                  <c:v>0.5</c:v>
                </c:pt>
                <c:pt idx="123">
                  <c:v>0.5625</c:v>
                </c:pt>
                <c:pt idx="124">
                  <c:v>0.625</c:v>
                </c:pt>
                <c:pt idx="125">
                  <c:v>0.6875</c:v>
                </c:pt>
                <c:pt idx="126">
                  <c:v>0.75</c:v>
                </c:pt>
                <c:pt idx="127">
                  <c:v>0.8125</c:v>
                </c:pt>
                <c:pt idx="128">
                  <c:v>0.875</c:v>
                </c:pt>
                <c:pt idx="129">
                  <c:v>0.9375</c:v>
                </c:pt>
                <c:pt idx="130" formatCode="0.000_ ">
                  <c:v>1</c:v>
                </c:pt>
                <c:pt idx="131" formatCode="0.000_ ">
                  <c:v>1.125</c:v>
                </c:pt>
                <c:pt idx="132" formatCode="0.000_ ">
                  <c:v>1.25</c:v>
                </c:pt>
                <c:pt idx="133" formatCode="0.000_ ">
                  <c:v>1.375</c:v>
                </c:pt>
                <c:pt idx="134" formatCode="0.000_ ">
                  <c:v>1.5</c:v>
                </c:pt>
                <c:pt idx="135" formatCode="0.000_ ">
                  <c:v>1.625</c:v>
                </c:pt>
                <c:pt idx="136" formatCode="0.000_ ">
                  <c:v>1.75</c:v>
                </c:pt>
                <c:pt idx="137" formatCode="0.000_ ">
                  <c:v>2</c:v>
                </c:pt>
                <c:pt idx="138" formatCode="0.000_ ">
                  <c:v>2.25</c:v>
                </c:pt>
                <c:pt idx="139" formatCode="0.000_ ">
                  <c:v>2.5</c:v>
                </c:pt>
                <c:pt idx="140" formatCode="0.000_ ">
                  <c:v>2.75</c:v>
                </c:pt>
                <c:pt idx="141" formatCode="0.000_ ">
                  <c:v>3</c:v>
                </c:pt>
                <c:pt idx="142" formatCode="0.000_ ">
                  <c:v>3.25</c:v>
                </c:pt>
                <c:pt idx="143" formatCode="0.000_ ">
                  <c:v>3.5</c:v>
                </c:pt>
                <c:pt idx="144" formatCode="0.000_ ">
                  <c:v>3.75</c:v>
                </c:pt>
                <c:pt idx="145" formatCode="0.000_ ">
                  <c:v>4</c:v>
                </c:pt>
                <c:pt idx="146" formatCode="0.000_ ">
                  <c:v>4.25</c:v>
                </c:pt>
                <c:pt idx="147" formatCode="0.000_ ">
                  <c:v>4.5</c:v>
                </c:pt>
                <c:pt idx="148" formatCode="0.000_ ">
                  <c:v>5</c:v>
                </c:pt>
                <c:pt idx="149" formatCode="0.000_ ">
                  <c:v>5.625</c:v>
                </c:pt>
                <c:pt idx="150" formatCode="0.000_ ">
                  <c:v>6.25</c:v>
                </c:pt>
                <c:pt idx="151" formatCode="0.000_ ">
                  <c:v>6.875</c:v>
                </c:pt>
                <c:pt idx="152" formatCode="0.000_ ">
                  <c:v>7.5</c:v>
                </c:pt>
                <c:pt idx="153" formatCode="0.000_ ">
                  <c:v>8.125</c:v>
                </c:pt>
                <c:pt idx="154" formatCode="0.000_ ">
                  <c:v>8.75</c:v>
                </c:pt>
                <c:pt idx="155" formatCode="0.000_ ">
                  <c:v>9.375</c:v>
                </c:pt>
                <c:pt idx="156" formatCode="0.000_ ">
                  <c:v>10</c:v>
                </c:pt>
                <c:pt idx="157" formatCode="0.000_ ">
                  <c:v>11.25</c:v>
                </c:pt>
                <c:pt idx="158" formatCode="0.000_ ">
                  <c:v>12.5</c:v>
                </c:pt>
                <c:pt idx="159" formatCode="0.000_ ">
                  <c:v>13.75</c:v>
                </c:pt>
                <c:pt idx="160" formatCode="0.000_ ">
                  <c:v>15</c:v>
                </c:pt>
                <c:pt idx="161" formatCode="0.000_ ">
                  <c:v>16.25</c:v>
                </c:pt>
                <c:pt idx="162" formatCode="0.000_ ">
                  <c:v>17.5</c:v>
                </c:pt>
                <c:pt idx="163" formatCode="0.000_ ">
                  <c:v>20</c:v>
                </c:pt>
                <c:pt idx="164" formatCode="0.000_ ">
                  <c:v>22.5</c:v>
                </c:pt>
                <c:pt idx="165" formatCode="0.000_ ">
                  <c:v>25</c:v>
                </c:pt>
                <c:pt idx="166" formatCode="0.000_ ">
                  <c:v>27.5</c:v>
                </c:pt>
                <c:pt idx="167" formatCode="0.000_ ">
                  <c:v>30</c:v>
                </c:pt>
                <c:pt idx="168" formatCode="0.000_ ">
                  <c:v>32.5</c:v>
                </c:pt>
                <c:pt idx="169" formatCode="0.000_ ">
                  <c:v>35</c:v>
                </c:pt>
                <c:pt idx="170" formatCode="0.000_ ">
                  <c:v>37.5</c:v>
                </c:pt>
                <c:pt idx="171" formatCode="0.000_ ">
                  <c:v>40</c:v>
                </c:pt>
                <c:pt idx="172" formatCode="0.000_ ">
                  <c:v>42.5</c:v>
                </c:pt>
                <c:pt idx="173" formatCode="0.000_ ">
                  <c:v>45</c:v>
                </c:pt>
                <c:pt idx="174" formatCode="0.000_ ">
                  <c:v>50</c:v>
                </c:pt>
                <c:pt idx="175" formatCode="0.000_ ">
                  <c:v>56.25</c:v>
                </c:pt>
                <c:pt idx="176" formatCode="0.000_ ">
                  <c:v>62.5</c:v>
                </c:pt>
                <c:pt idx="177" formatCode="0.000_ ">
                  <c:v>68.75</c:v>
                </c:pt>
                <c:pt idx="178" formatCode="0.000_ ">
                  <c:v>75</c:v>
                </c:pt>
                <c:pt idx="179" formatCode="0.000_ ">
                  <c:v>81.25</c:v>
                </c:pt>
                <c:pt idx="180" formatCode="0.000_ ">
                  <c:v>87.5</c:v>
                </c:pt>
                <c:pt idx="181" formatCode="0.000_ ">
                  <c:v>93.75</c:v>
                </c:pt>
                <c:pt idx="182" formatCode="0.00_ ">
                  <c:v>100</c:v>
                </c:pt>
                <c:pt idx="183" formatCode="0.00_ ">
                  <c:v>112.5</c:v>
                </c:pt>
                <c:pt idx="184" formatCode="0.00_ ">
                  <c:v>125</c:v>
                </c:pt>
                <c:pt idx="185" formatCode="0.00_ ">
                  <c:v>137.5</c:v>
                </c:pt>
                <c:pt idx="186" formatCode="0.00_ ">
                  <c:v>150</c:v>
                </c:pt>
                <c:pt idx="187" formatCode="0.00_ ">
                  <c:v>162.5</c:v>
                </c:pt>
                <c:pt idx="188" formatCode="0.00_ ">
                  <c:v>175</c:v>
                </c:pt>
                <c:pt idx="189" formatCode="0.00_ ">
                  <c:v>200</c:v>
                </c:pt>
                <c:pt idx="190" formatCode="0.00_ ">
                  <c:v>225</c:v>
                </c:pt>
                <c:pt idx="191" formatCode="0.00_ ">
                  <c:v>250</c:v>
                </c:pt>
                <c:pt idx="192" formatCode="0.00_ ">
                  <c:v>275</c:v>
                </c:pt>
                <c:pt idx="193" formatCode="0.00_ ">
                  <c:v>300</c:v>
                </c:pt>
                <c:pt idx="194" formatCode="0.00_ ">
                  <c:v>325</c:v>
                </c:pt>
                <c:pt idx="195" formatCode="0.00_ ">
                  <c:v>350</c:v>
                </c:pt>
                <c:pt idx="196" formatCode="0.00_ ">
                  <c:v>375</c:v>
                </c:pt>
                <c:pt idx="197" formatCode="0.00_ ">
                  <c:v>400</c:v>
                </c:pt>
                <c:pt idx="198" formatCode="0.00_ ">
                  <c:v>425</c:v>
                </c:pt>
                <c:pt idx="199" formatCode="0.00_ ">
                  <c:v>450</c:v>
                </c:pt>
                <c:pt idx="200" formatCode="0.00_ ">
                  <c:v>500</c:v>
                </c:pt>
                <c:pt idx="201" formatCode="0.00_ ">
                  <c:v>562.5</c:v>
                </c:pt>
                <c:pt idx="202" formatCode="0.00_ ">
                  <c:v>625</c:v>
                </c:pt>
                <c:pt idx="203" formatCode="0.00_ ">
                  <c:v>687.5</c:v>
                </c:pt>
                <c:pt idx="204" formatCode="0.00_ ">
                  <c:v>750</c:v>
                </c:pt>
                <c:pt idx="205" formatCode="0.00_ ">
                  <c:v>812.5</c:v>
                </c:pt>
                <c:pt idx="206" formatCode="0.00_ ">
                  <c:v>875</c:v>
                </c:pt>
                <c:pt idx="207" formatCode="0.00_ ">
                  <c:v>937.5</c:v>
                </c:pt>
                <c:pt idx="208" formatCode="0.00_ ">
                  <c:v>1000</c:v>
                </c:pt>
              </c:numCache>
            </c:numRef>
          </c:xVal>
          <c:yVal>
            <c:numRef>
              <c:f>'dbg30'!$W$11:$W$219</c:f>
              <c:numCache>
                <c:formatCode>0.000_ </c:formatCode>
                <c:ptCount val="209"/>
                <c:pt idx="0">
                  <c:v>3.9999900000000006E-4</c:v>
                </c:pt>
                <c:pt idx="1">
                  <c:v>4.4999900000000003E-4</c:v>
                </c:pt>
                <c:pt idx="2">
                  <c:v>4.9999899999999999E-4</c:v>
                </c:pt>
                <c:pt idx="3">
                  <c:v>5.4999900000000002E-4</c:v>
                </c:pt>
                <c:pt idx="4">
                  <c:v>5.9999900000000004E-4</c:v>
                </c:pt>
                <c:pt idx="5">
                  <c:v>6.4999900000000006E-4</c:v>
                </c:pt>
                <c:pt idx="6">
                  <c:v>6.9999899999999998E-4</c:v>
                </c:pt>
                <c:pt idx="7">
                  <c:v>7.9999900000000002E-4</c:v>
                </c:pt>
                <c:pt idx="8">
                  <c:v>8.9999900000000007E-4</c:v>
                </c:pt>
                <c:pt idx="9">
                  <c:v>9.9999900000000011E-4</c:v>
                </c:pt>
                <c:pt idx="10">
                  <c:v>1.1000000000000001E-3</c:v>
                </c:pt>
                <c:pt idx="11">
                  <c:v>1.1999999999999999E-3</c:v>
                </c:pt>
                <c:pt idx="12">
                  <c:v>1.2999999999999999E-3</c:v>
                </c:pt>
                <c:pt idx="13">
                  <c:v>1.3999999999999998E-3</c:v>
                </c:pt>
                <c:pt idx="14">
                  <c:v>1.5E-3</c:v>
                </c:pt>
                <c:pt idx="15">
                  <c:v>1.6000000000000001E-3</c:v>
                </c:pt>
                <c:pt idx="16">
                  <c:v>1.6999999999999999E-3</c:v>
                </c:pt>
                <c:pt idx="17">
                  <c:v>1.8E-3</c:v>
                </c:pt>
                <c:pt idx="18">
                  <c:v>2E-3</c:v>
                </c:pt>
                <c:pt idx="19">
                  <c:v>2.2499999999999998E-3</c:v>
                </c:pt>
                <c:pt idx="20">
                  <c:v>2.5000000000000001E-3</c:v>
                </c:pt>
                <c:pt idx="21">
                  <c:v>2.7499999999999998E-3</c:v>
                </c:pt>
                <c:pt idx="22">
                  <c:v>3.0000000000000001E-3</c:v>
                </c:pt>
                <c:pt idx="23">
                  <c:v>3.2499999999999999E-3</c:v>
                </c:pt>
                <c:pt idx="24">
                  <c:v>3.5000000000000001E-3</c:v>
                </c:pt>
                <c:pt idx="25">
                  <c:v>3.7499999999999999E-3</c:v>
                </c:pt>
                <c:pt idx="26">
                  <c:v>4.0000000000000001E-3</c:v>
                </c:pt>
                <c:pt idx="27">
                  <c:v>4.4999999999999997E-3</c:v>
                </c:pt>
                <c:pt idx="28">
                  <c:v>5.0000000000000001E-3</c:v>
                </c:pt>
                <c:pt idx="29">
                  <c:v>5.4999999999999997E-3</c:v>
                </c:pt>
                <c:pt idx="30">
                  <c:v>6.0000000000000001E-3</c:v>
                </c:pt>
                <c:pt idx="31">
                  <c:v>6.4999999999999997E-3</c:v>
                </c:pt>
                <c:pt idx="32">
                  <c:v>7.0000000000000001E-3</c:v>
                </c:pt>
                <c:pt idx="33">
                  <c:v>8.0000000000000002E-3</c:v>
                </c:pt>
                <c:pt idx="34">
                  <c:v>8.9999999999999993E-3</c:v>
                </c:pt>
                <c:pt idx="35">
                  <c:v>0.01</c:v>
                </c:pt>
                <c:pt idx="36">
                  <c:v>1.0999999999999999E-2</c:v>
                </c:pt>
                <c:pt idx="37">
                  <c:v>1.2E-2</c:v>
                </c:pt>
                <c:pt idx="38">
                  <c:v>1.2999999999999999E-2</c:v>
                </c:pt>
                <c:pt idx="39">
                  <c:v>1.4E-2</c:v>
                </c:pt>
                <c:pt idx="40">
                  <c:v>1.4999999999999999E-2</c:v>
                </c:pt>
                <c:pt idx="41">
                  <c:v>1.6E-2</c:v>
                </c:pt>
                <c:pt idx="42">
                  <c:v>1.7000000000000001E-2</c:v>
                </c:pt>
                <c:pt idx="43">
                  <c:v>1.7999999999999999E-2</c:v>
                </c:pt>
                <c:pt idx="44">
                  <c:v>0.02</c:v>
                </c:pt>
                <c:pt idx="45">
                  <c:v>2.2499999999999999E-2</c:v>
                </c:pt>
                <c:pt idx="46">
                  <c:v>2.5000000000000001E-2</c:v>
                </c:pt>
                <c:pt idx="47">
                  <c:v>2.7499999999999997E-2</c:v>
                </c:pt>
                <c:pt idx="48">
                  <c:v>0.03</c:v>
                </c:pt>
                <c:pt idx="49">
                  <c:v>3.2500000000000001E-2</c:v>
                </c:pt>
                <c:pt idx="50">
                  <c:v>3.5000000000000003E-2</c:v>
                </c:pt>
                <c:pt idx="51">
                  <c:v>3.7499999999999999E-2</c:v>
                </c:pt>
                <c:pt idx="52">
                  <c:v>0.04</c:v>
                </c:pt>
                <c:pt idx="53">
                  <c:v>4.4999999999999998E-2</c:v>
                </c:pt>
                <c:pt idx="54">
                  <c:v>0.05</c:v>
                </c:pt>
                <c:pt idx="55">
                  <c:v>5.4999999999999993E-2</c:v>
                </c:pt>
                <c:pt idx="56">
                  <c:v>0.06</c:v>
                </c:pt>
                <c:pt idx="57">
                  <c:v>6.5000000000000002E-2</c:v>
                </c:pt>
                <c:pt idx="58">
                  <c:v>7.0000000000000007E-2</c:v>
                </c:pt>
                <c:pt idx="59">
                  <c:v>0.08</c:v>
                </c:pt>
                <c:pt idx="60">
                  <c:v>0.09</c:v>
                </c:pt>
                <c:pt idx="61">
                  <c:v>0.1</c:v>
                </c:pt>
                <c:pt idx="62">
                  <c:v>0.10999999999999999</c:v>
                </c:pt>
                <c:pt idx="63">
                  <c:v>0.12</c:v>
                </c:pt>
                <c:pt idx="64">
                  <c:v>0.13</c:v>
                </c:pt>
                <c:pt idx="65">
                  <c:v>0.14000000000000001</c:v>
                </c:pt>
                <c:pt idx="66">
                  <c:v>0.15</c:v>
                </c:pt>
                <c:pt idx="67">
                  <c:v>0.16</c:v>
                </c:pt>
                <c:pt idx="68">
                  <c:v>0.17</c:v>
                </c:pt>
                <c:pt idx="69">
                  <c:v>0.18</c:v>
                </c:pt>
                <c:pt idx="70">
                  <c:v>0.2</c:v>
                </c:pt>
                <c:pt idx="71">
                  <c:v>0.22499999999999998</c:v>
                </c:pt>
                <c:pt idx="72">
                  <c:v>0.25</c:v>
                </c:pt>
                <c:pt idx="73">
                  <c:v>0.27500000000000002</c:v>
                </c:pt>
                <c:pt idx="74">
                  <c:v>0.3</c:v>
                </c:pt>
                <c:pt idx="75">
                  <c:v>0.32500000000000001</c:v>
                </c:pt>
                <c:pt idx="76">
                  <c:v>0.35</c:v>
                </c:pt>
                <c:pt idx="77">
                  <c:v>0.375</c:v>
                </c:pt>
                <c:pt idx="78">
                  <c:v>0.4</c:v>
                </c:pt>
                <c:pt idx="79">
                  <c:v>0.44999999999999996</c:v>
                </c:pt>
                <c:pt idx="80">
                  <c:v>0.5</c:v>
                </c:pt>
                <c:pt idx="81">
                  <c:v>0.55000000000000004</c:v>
                </c:pt>
                <c:pt idx="82">
                  <c:v>0.6</c:v>
                </c:pt>
                <c:pt idx="83">
                  <c:v>0.65</c:v>
                </c:pt>
                <c:pt idx="84">
                  <c:v>0.7</c:v>
                </c:pt>
                <c:pt idx="85">
                  <c:v>0.8</c:v>
                </c:pt>
                <c:pt idx="86">
                  <c:v>0.89999999999999991</c:v>
                </c:pt>
                <c:pt idx="87">
                  <c:v>1</c:v>
                </c:pt>
                <c:pt idx="88">
                  <c:v>1.1000000000000001</c:v>
                </c:pt>
                <c:pt idx="89">
                  <c:v>1.2</c:v>
                </c:pt>
                <c:pt idx="90">
                  <c:v>1.3</c:v>
                </c:pt>
                <c:pt idx="91">
                  <c:v>1.4</c:v>
                </c:pt>
                <c:pt idx="92">
                  <c:v>1.5</c:v>
                </c:pt>
                <c:pt idx="93">
                  <c:v>1.6</c:v>
                </c:pt>
                <c:pt idx="94">
                  <c:v>1.6999999999999997</c:v>
                </c:pt>
                <c:pt idx="95">
                  <c:v>1.7999999999999998</c:v>
                </c:pt>
                <c:pt idx="96">
                  <c:v>2</c:v>
                </c:pt>
                <c:pt idx="97">
                  <c:v>2.25</c:v>
                </c:pt>
                <c:pt idx="98">
                  <c:v>2.5</c:v>
                </c:pt>
                <c:pt idx="99">
                  <c:v>2.75</c:v>
                </c:pt>
                <c:pt idx="100">
                  <c:v>3</c:v>
                </c:pt>
                <c:pt idx="101">
                  <c:v>3.25</c:v>
                </c:pt>
                <c:pt idx="102">
                  <c:v>3.5</c:v>
                </c:pt>
                <c:pt idx="103">
                  <c:v>3.75</c:v>
                </c:pt>
                <c:pt idx="104">
                  <c:v>4</c:v>
                </c:pt>
                <c:pt idx="105">
                  <c:v>4.5</c:v>
                </c:pt>
                <c:pt idx="106">
                  <c:v>5</c:v>
                </c:pt>
                <c:pt idx="107">
                  <c:v>5.5</c:v>
                </c:pt>
                <c:pt idx="108">
                  <c:v>6</c:v>
                </c:pt>
                <c:pt idx="109">
                  <c:v>6.5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20</c:v>
                </c:pt>
                <c:pt idx="123">
                  <c:v>22.5</c:v>
                </c:pt>
                <c:pt idx="124">
                  <c:v>25</c:v>
                </c:pt>
                <c:pt idx="125">
                  <c:v>27.5</c:v>
                </c:pt>
                <c:pt idx="126">
                  <c:v>30</c:v>
                </c:pt>
                <c:pt idx="127">
                  <c:v>32.5</c:v>
                </c:pt>
                <c:pt idx="128">
                  <c:v>35</c:v>
                </c:pt>
                <c:pt idx="129">
                  <c:v>37.5</c:v>
                </c:pt>
                <c:pt idx="130">
                  <c:v>40</c:v>
                </c:pt>
                <c:pt idx="131">
                  <c:v>45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7B5-47B7-A394-65373099B632}"/>
            </c:ext>
          </c:extLst>
        </c:ser>
        <c:ser>
          <c:idx val="3"/>
          <c:order val="2"/>
          <c:tx>
            <c:v>ws2 dEt2</c:v>
          </c:tx>
          <c:spPr>
            <a:ln w="12700">
              <a:solidFill>
                <a:srgbClr val="0000FF"/>
              </a:solidFill>
            </a:ln>
          </c:spPr>
          <c:marker>
            <c:symbol val="triangle"/>
            <c:size val="3"/>
            <c:spPr>
              <a:noFill/>
              <a:ln>
                <a:solidFill>
                  <a:srgbClr val="0000FF"/>
                </a:solidFill>
              </a:ln>
            </c:spPr>
          </c:marker>
          <c:xVal>
            <c:numRef>
              <c:f>'dbg30'!$Z$11:$Z$219</c:f>
              <c:numCache>
                <c:formatCode>0.00000_ </c:formatCode>
                <c:ptCount val="209"/>
                <c:pt idx="0">
                  <c:v>1.071427380952381E-5</c:v>
                </c:pt>
                <c:pt idx="1">
                  <c:v>1.1904750000000002E-5</c:v>
                </c:pt>
                <c:pt idx="2">
                  <c:v>1.3095238095238096E-5</c:v>
                </c:pt>
                <c:pt idx="3">
                  <c:v>1.4285714285714284E-5</c:v>
                </c:pt>
                <c:pt idx="4">
                  <c:v>1.5476190476190476E-5</c:v>
                </c:pt>
                <c:pt idx="5">
                  <c:v>1.6666666666666667E-5</c:v>
                </c:pt>
                <c:pt idx="6">
                  <c:v>1.7857142857142858E-5</c:v>
                </c:pt>
                <c:pt idx="7">
                  <c:v>1.9047619047619049E-5</c:v>
                </c:pt>
                <c:pt idx="8">
                  <c:v>2.0238095238095237E-5</c:v>
                </c:pt>
                <c:pt idx="9">
                  <c:v>2.1428571428571428E-5</c:v>
                </c:pt>
                <c:pt idx="10">
                  <c:v>2.380952380952381E-5</c:v>
                </c:pt>
                <c:pt idx="11">
                  <c:v>2.6785714285714284E-5</c:v>
                </c:pt>
                <c:pt idx="12">
                  <c:v>2.9761904761904762E-5</c:v>
                </c:pt>
                <c:pt idx="13">
                  <c:v>3.2738095238095239E-5</c:v>
                </c:pt>
                <c:pt idx="14">
                  <c:v>3.5714285714285717E-5</c:v>
                </c:pt>
                <c:pt idx="15">
                  <c:v>3.8690476190476188E-5</c:v>
                </c:pt>
                <c:pt idx="16">
                  <c:v>4.1666666666666665E-5</c:v>
                </c:pt>
                <c:pt idx="17">
                  <c:v>4.4642857142857143E-5</c:v>
                </c:pt>
                <c:pt idx="18">
                  <c:v>4.761904761904762E-5</c:v>
                </c:pt>
                <c:pt idx="19">
                  <c:v>5.3571428571428569E-5</c:v>
                </c:pt>
                <c:pt idx="20">
                  <c:v>5.9523809523809524E-5</c:v>
                </c:pt>
                <c:pt idx="21">
                  <c:v>6.5476190476190479E-5</c:v>
                </c:pt>
                <c:pt idx="22">
                  <c:v>7.1428571428571434E-5</c:v>
                </c:pt>
                <c:pt idx="23">
                  <c:v>7.7380952380952375E-5</c:v>
                </c:pt>
                <c:pt idx="24">
                  <c:v>8.3333333333333331E-5</c:v>
                </c:pt>
                <c:pt idx="25">
                  <c:v>9.5238095238095241E-5</c:v>
                </c:pt>
                <c:pt idx="26">
                  <c:v>1.0714285714285714E-4</c:v>
                </c:pt>
                <c:pt idx="27">
                  <c:v>1.1904761904761905E-4</c:v>
                </c:pt>
                <c:pt idx="28">
                  <c:v>1.3095238095238096E-4</c:v>
                </c:pt>
                <c:pt idx="29">
                  <c:v>1.4285714285714287E-4</c:v>
                </c:pt>
                <c:pt idx="30">
                  <c:v>1.5476190476190475E-4</c:v>
                </c:pt>
                <c:pt idx="31">
                  <c:v>1.6666666666666666E-4</c:v>
                </c:pt>
                <c:pt idx="32">
                  <c:v>1.7857142857142857E-4</c:v>
                </c:pt>
                <c:pt idx="33">
                  <c:v>1.9047619047619048E-4</c:v>
                </c:pt>
                <c:pt idx="34">
                  <c:v>2.0238095238095239E-4</c:v>
                </c:pt>
                <c:pt idx="35">
                  <c:v>2.1428571428571427E-4</c:v>
                </c:pt>
                <c:pt idx="36">
                  <c:v>2.380952380952381E-4</c:v>
                </c:pt>
                <c:pt idx="37">
                  <c:v>2.6785714285714287E-4</c:v>
                </c:pt>
                <c:pt idx="38">
                  <c:v>2.9761904761904765E-4</c:v>
                </c:pt>
                <c:pt idx="39">
                  <c:v>3.2738095238095237E-4</c:v>
                </c:pt>
                <c:pt idx="40">
                  <c:v>3.5714285714285714E-4</c:v>
                </c:pt>
                <c:pt idx="41">
                  <c:v>3.8690476190476192E-4</c:v>
                </c:pt>
                <c:pt idx="42">
                  <c:v>4.1666666666666669E-4</c:v>
                </c:pt>
                <c:pt idx="43">
                  <c:v>4.4642857142857141E-4</c:v>
                </c:pt>
                <c:pt idx="44">
                  <c:v>4.7619047619047619E-4</c:v>
                </c:pt>
                <c:pt idx="45">
                  <c:v>5.3571428571428574E-4</c:v>
                </c:pt>
                <c:pt idx="46">
                  <c:v>5.9523809523809529E-4</c:v>
                </c:pt>
                <c:pt idx="47">
                  <c:v>6.5476190476190473E-4</c:v>
                </c:pt>
                <c:pt idx="48">
                  <c:v>7.1428571428571429E-4</c:v>
                </c:pt>
                <c:pt idx="49">
                  <c:v>7.7380952380952384E-4</c:v>
                </c:pt>
                <c:pt idx="50">
                  <c:v>8.3333333333333339E-4</c:v>
                </c:pt>
                <c:pt idx="51">
                  <c:v>9.5238095238095238E-4</c:v>
                </c:pt>
                <c:pt idx="52">
                  <c:v>1.0714285714285715E-3</c:v>
                </c:pt>
                <c:pt idx="53">
                  <c:v>1.1904761904761906E-3</c:v>
                </c:pt>
                <c:pt idx="54">
                  <c:v>1.3095238095238095E-3</c:v>
                </c:pt>
                <c:pt idx="55">
                  <c:v>1.4285714285714286E-3</c:v>
                </c:pt>
                <c:pt idx="56">
                  <c:v>1.5476190476190477E-3</c:v>
                </c:pt>
                <c:pt idx="57">
                  <c:v>1.6666666666666668E-3</c:v>
                </c:pt>
                <c:pt idx="58">
                  <c:v>1.7857142857142857E-3</c:v>
                </c:pt>
                <c:pt idx="59">
                  <c:v>1.9047619047619048E-3</c:v>
                </c:pt>
                <c:pt idx="60">
                  <c:v>2.0238095238095241E-3</c:v>
                </c:pt>
                <c:pt idx="61">
                  <c:v>2.142857142857143E-3</c:v>
                </c:pt>
                <c:pt idx="62">
                  <c:v>2.3809523809523812E-3</c:v>
                </c:pt>
                <c:pt idx="63">
                  <c:v>2.6785714285714286E-3</c:v>
                </c:pt>
                <c:pt idx="64">
                  <c:v>2.976190476190476E-3</c:v>
                </c:pt>
                <c:pt idx="65">
                  <c:v>3.2738095238095239E-3</c:v>
                </c:pt>
                <c:pt idx="66">
                  <c:v>3.5714285714285713E-3</c:v>
                </c:pt>
                <c:pt idx="67">
                  <c:v>3.8690476190476192E-3</c:v>
                </c:pt>
                <c:pt idx="68">
                  <c:v>4.1666666666666666E-3</c:v>
                </c:pt>
                <c:pt idx="69">
                  <c:v>4.464285714285714E-3</c:v>
                </c:pt>
                <c:pt idx="70">
                  <c:v>4.7619047619047623E-3</c:v>
                </c:pt>
                <c:pt idx="71">
                  <c:v>5.3571428571428572E-3</c:v>
                </c:pt>
                <c:pt idx="72">
                  <c:v>5.9523809523809521E-3</c:v>
                </c:pt>
                <c:pt idx="73">
                  <c:v>6.5476190476190478E-3</c:v>
                </c:pt>
                <c:pt idx="74">
                  <c:v>7.1428571428571426E-3</c:v>
                </c:pt>
                <c:pt idx="75">
                  <c:v>7.7380952380952384E-3</c:v>
                </c:pt>
                <c:pt idx="76">
                  <c:v>8.3333333333333332E-3</c:v>
                </c:pt>
                <c:pt idx="77">
                  <c:v>9.5238095238095247E-3</c:v>
                </c:pt>
                <c:pt idx="78">
                  <c:v>1.0714285714285714E-2</c:v>
                </c:pt>
                <c:pt idx="79">
                  <c:v>1.1904761904761904E-2</c:v>
                </c:pt>
                <c:pt idx="80">
                  <c:v>1.3095238095238096E-2</c:v>
                </c:pt>
                <c:pt idx="81">
                  <c:v>1.4285714285714285E-2</c:v>
                </c:pt>
                <c:pt idx="82">
                  <c:v>1.5476190476190477E-2</c:v>
                </c:pt>
                <c:pt idx="83">
                  <c:v>1.6666666666666666E-2</c:v>
                </c:pt>
                <c:pt idx="84">
                  <c:v>1.7857142857142856E-2</c:v>
                </c:pt>
                <c:pt idx="85">
                  <c:v>1.9047619047619049E-2</c:v>
                </c:pt>
                <c:pt idx="86">
                  <c:v>2.0238095238095239E-2</c:v>
                </c:pt>
                <c:pt idx="87">
                  <c:v>2.1428571428571429E-2</c:v>
                </c:pt>
                <c:pt idx="88">
                  <c:v>2.3809523809523808E-2</c:v>
                </c:pt>
                <c:pt idx="89">
                  <c:v>2.6785714285714284E-2</c:v>
                </c:pt>
                <c:pt idx="90">
                  <c:v>2.976190476190476E-2</c:v>
                </c:pt>
                <c:pt idx="91">
                  <c:v>3.273809523809524E-2</c:v>
                </c:pt>
                <c:pt idx="92">
                  <c:v>3.5714285714285712E-2</c:v>
                </c:pt>
                <c:pt idx="93">
                  <c:v>3.8690476190476192E-2</c:v>
                </c:pt>
                <c:pt idx="94">
                  <c:v>4.1666666666666664E-2</c:v>
                </c:pt>
                <c:pt idx="95">
                  <c:v>4.4642857142857144E-2</c:v>
                </c:pt>
                <c:pt idx="96">
                  <c:v>4.7619047619047616E-2</c:v>
                </c:pt>
                <c:pt idx="97">
                  <c:v>5.3571428571428568E-2</c:v>
                </c:pt>
                <c:pt idx="98">
                  <c:v>5.9523809523809521E-2</c:v>
                </c:pt>
                <c:pt idx="99">
                  <c:v>6.5476190476190479E-2</c:v>
                </c:pt>
                <c:pt idx="100">
                  <c:v>7.1428571428571425E-2</c:v>
                </c:pt>
                <c:pt idx="101">
                  <c:v>7.7380952380952384E-2</c:v>
                </c:pt>
                <c:pt idx="102">
                  <c:v>8.3333333333333329E-2</c:v>
                </c:pt>
                <c:pt idx="103">
                  <c:v>9.5238095238095233E-2</c:v>
                </c:pt>
                <c:pt idx="104">
                  <c:v>0.10714285714285714</c:v>
                </c:pt>
                <c:pt idx="105">
                  <c:v>0.11904761904761904</c:v>
                </c:pt>
                <c:pt idx="106">
                  <c:v>0.13095238095238096</c:v>
                </c:pt>
                <c:pt idx="107">
                  <c:v>0.14285714285714285</c:v>
                </c:pt>
                <c:pt idx="108">
                  <c:v>0.15476190476190477</c:v>
                </c:pt>
                <c:pt idx="109">
                  <c:v>0.16666666666666666</c:v>
                </c:pt>
                <c:pt idx="110">
                  <c:v>0.17857142857142858</c:v>
                </c:pt>
                <c:pt idx="111">
                  <c:v>0.19047619047619047</c:v>
                </c:pt>
                <c:pt idx="112">
                  <c:v>0.20238095238095238</c:v>
                </c:pt>
                <c:pt idx="113">
                  <c:v>0.21428571428571427</c:v>
                </c:pt>
                <c:pt idx="114">
                  <c:v>0.23809523809523808</c:v>
                </c:pt>
                <c:pt idx="115">
                  <c:v>0.26785714285714285</c:v>
                </c:pt>
                <c:pt idx="116">
                  <c:v>0.29761904761904762</c:v>
                </c:pt>
                <c:pt idx="117">
                  <c:v>0.32738095238095238</c:v>
                </c:pt>
                <c:pt idx="118">
                  <c:v>0.35714285714285715</c:v>
                </c:pt>
                <c:pt idx="119">
                  <c:v>0.38690476190476192</c:v>
                </c:pt>
                <c:pt idx="120">
                  <c:v>0.41666666666666669</c:v>
                </c:pt>
                <c:pt idx="121">
                  <c:v>0.44642857142857145</c:v>
                </c:pt>
                <c:pt idx="122">
                  <c:v>0.47619047619047616</c:v>
                </c:pt>
                <c:pt idx="123">
                  <c:v>0.5357142857142857</c:v>
                </c:pt>
                <c:pt idx="124">
                  <c:v>0.59523809523809523</c:v>
                </c:pt>
                <c:pt idx="125">
                  <c:v>0.65476190476190477</c:v>
                </c:pt>
                <c:pt idx="126">
                  <c:v>0.7142857142857143</c:v>
                </c:pt>
                <c:pt idx="127">
                  <c:v>0.77380952380952384</c:v>
                </c:pt>
                <c:pt idx="128">
                  <c:v>0.83333333333333337</c:v>
                </c:pt>
                <c:pt idx="129">
                  <c:v>0.95238095238095233</c:v>
                </c:pt>
                <c:pt idx="130" formatCode="0.000_ ">
                  <c:v>1.0714285714285714</c:v>
                </c:pt>
                <c:pt idx="131" formatCode="0.000_ ">
                  <c:v>1.1904761904761905</c:v>
                </c:pt>
                <c:pt idx="132" formatCode="0.000_ ">
                  <c:v>1.3095238095238095</c:v>
                </c:pt>
                <c:pt idx="133" formatCode="0.000_ ">
                  <c:v>1.4285714285714286</c:v>
                </c:pt>
                <c:pt idx="134" formatCode="0.000_ ">
                  <c:v>1.5476190476190477</c:v>
                </c:pt>
                <c:pt idx="135" formatCode="0.000_ ">
                  <c:v>1.6666666666666667</c:v>
                </c:pt>
                <c:pt idx="136" formatCode="0.000_ ">
                  <c:v>1.7857142857142858</c:v>
                </c:pt>
                <c:pt idx="137" formatCode="0.000_ ">
                  <c:v>1.9047619047619047</c:v>
                </c:pt>
                <c:pt idx="138" formatCode="0.000_ ">
                  <c:v>2.0238095238095237</c:v>
                </c:pt>
                <c:pt idx="139" formatCode="0.000_ ">
                  <c:v>2.1428571428571428</c:v>
                </c:pt>
                <c:pt idx="140" formatCode="0.000_ ">
                  <c:v>2.3809523809523809</c:v>
                </c:pt>
                <c:pt idx="141" formatCode="0.000_ ">
                  <c:v>2.6785714285714284</c:v>
                </c:pt>
                <c:pt idx="142" formatCode="0.000_ ">
                  <c:v>2.9761904761904763</c:v>
                </c:pt>
                <c:pt idx="143" formatCode="0.000_ ">
                  <c:v>3.2738095238095237</c:v>
                </c:pt>
                <c:pt idx="144" formatCode="0.000_ ">
                  <c:v>3.5714285714285716</c:v>
                </c:pt>
                <c:pt idx="145" formatCode="0.000_ ">
                  <c:v>3.8690476190476191</c:v>
                </c:pt>
                <c:pt idx="146" formatCode="0.000_ ">
                  <c:v>4.166666666666667</c:v>
                </c:pt>
                <c:pt idx="147" formatCode="0.000_ ">
                  <c:v>4.4642857142857144</c:v>
                </c:pt>
                <c:pt idx="148" formatCode="0.000_ ">
                  <c:v>4.7619047619047619</c:v>
                </c:pt>
                <c:pt idx="149" formatCode="0.000_ ">
                  <c:v>5.3571428571428568</c:v>
                </c:pt>
                <c:pt idx="150" formatCode="0.000_ ">
                  <c:v>5.9523809523809526</c:v>
                </c:pt>
                <c:pt idx="151" formatCode="0.000_ ">
                  <c:v>6.5476190476190474</c:v>
                </c:pt>
                <c:pt idx="152" formatCode="0.000_ ">
                  <c:v>7.1428571428571432</c:v>
                </c:pt>
                <c:pt idx="153" formatCode="0.000_ ">
                  <c:v>7.7380952380952381</c:v>
                </c:pt>
                <c:pt idx="154" formatCode="0.000_ ">
                  <c:v>8.3333333333333339</c:v>
                </c:pt>
                <c:pt idx="155" formatCode="0.000_ ">
                  <c:v>9.5238095238095237</c:v>
                </c:pt>
                <c:pt idx="156" formatCode="0.000_ ">
                  <c:v>10.714285714285714</c:v>
                </c:pt>
                <c:pt idx="157" formatCode="0.000_ ">
                  <c:v>11.904761904761905</c:v>
                </c:pt>
                <c:pt idx="158" formatCode="0.000_ ">
                  <c:v>13.095238095238095</c:v>
                </c:pt>
                <c:pt idx="159" formatCode="0.000_ ">
                  <c:v>14.285714285714286</c:v>
                </c:pt>
                <c:pt idx="160" formatCode="0.000_ ">
                  <c:v>15.476190476190476</c:v>
                </c:pt>
                <c:pt idx="161" formatCode="0.000_ ">
                  <c:v>16.666666666666668</c:v>
                </c:pt>
                <c:pt idx="162" formatCode="0.000_ ">
                  <c:v>17.857142857142858</c:v>
                </c:pt>
                <c:pt idx="163" formatCode="0.000_ ">
                  <c:v>19.047619047619047</c:v>
                </c:pt>
                <c:pt idx="164" formatCode="0.000_ ">
                  <c:v>20.238095238095237</c:v>
                </c:pt>
                <c:pt idx="165" formatCode="0.000_ ">
                  <c:v>21.428571428571427</c:v>
                </c:pt>
                <c:pt idx="166" formatCode="0.000_ ">
                  <c:v>23.80952380952381</c:v>
                </c:pt>
                <c:pt idx="167" formatCode="0.000_ ">
                  <c:v>26.785714285714285</c:v>
                </c:pt>
                <c:pt idx="168" formatCode="0.000_ ">
                  <c:v>29.761904761904763</c:v>
                </c:pt>
                <c:pt idx="169" formatCode="0.000_ ">
                  <c:v>32.738095238095241</c:v>
                </c:pt>
                <c:pt idx="170" formatCode="0.000_ ">
                  <c:v>35.714285714285715</c:v>
                </c:pt>
                <c:pt idx="171" formatCode="0.000_ ">
                  <c:v>38.69047619047619</c:v>
                </c:pt>
                <c:pt idx="172" formatCode="0.000_ ">
                  <c:v>41.666666666666664</c:v>
                </c:pt>
                <c:pt idx="173" formatCode="0.000_ ">
                  <c:v>44.642857142857146</c:v>
                </c:pt>
                <c:pt idx="174" formatCode="0.000_ ">
                  <c:v>47.61904761904762</c:v>
                </c:pt>
                <c:pt idx="175" formatCode="0.000_ ">
                  <c:v>53.571428571428569</c:v>
                </c:pt>
                <c:pt idx="176" formatCode="0.000_ ">
                  <c:v>59.523809523809526</c:v>
                </c:pt>
                <c:pt idx="177" formatCode="0.000_ ">
                  <c:v>65.476190476190482</c:v>
                </c:pt>
                <c:pt idx="178" formatCode="0.000_ ">
                  <c:v>71.428571428571431</c:v>
                </c:pt>
                <c:pt idx="179" formatCode="0.000_ ">
                  <c:v>77.38095238095238</c:v>
                </c:pt>
                <c:pt idx="180" formatCode="0.000_ ">
                  <c:v>83.333333333333329</c:v>
                </c:pt>
                <c:pt idx="181" formatCode="0.000_ ">
                  <c:v>95.238095238095241</c:v>
                </c:pt>
                <c:pt idx="182" formatCode="0.00_ ">
                  <c:v>107.14285714285714</c:v>
                </c:pt>
                <c:pt idx="183" formatCode="0.00_ ">
                  <c:v>119.04761904761905</c:v>
                </c:pt>
                <c:pt idx="184" formatCode="0.00_ ">
                  <c:v>130.95238095238096</c:v>
                </c:pt>
                <c:pt idx="185" formatCode="0.00_ ">
                  <c:v>142.85714285714286</c:v>
                </c:pt>
                <c:pt idx="186" formatCode="0.00_ ">
                  <c:v>154.76190476190476</c:v>
                </c:pt>
                <c:pt idx="187" formatCode="0.00_ ">
                  <c:v>166.66666666666666</c:v>
                </c:pt>
                <c:pt idx="188" formatCode="0.00_ ">
                  <c:v>178.57142857142858</c:v>
                </c:pt>
                <c:pt idx="189" formatCode="0.00_ ">
                  <c:v>190.47619047619048</c:v>
                </c:pt>
                <c:pt idx="190" formatCode="0.00_ ">
                  <c:v>202.38095238095238</c:v>
                </c:pt>
                <c:pt idx="191" formatCode="0.00_ ">
                  <c:v>214.28571428571428</c:v>
                </c:pt>
                <c:pt idx="192" formatCode="0.00_ ">
                  <c:v>238.0952380952381</c:v>
                </c:pt>
                <c:pt idx="193" formatCode="0.00_ ">
                  <c:v>267.85714285714283</c:v>
                </c:pt>
                <c:pt idx="194" formatCode="0.00_ ">
                  <c:v>297.61904761904759</c:v>
                </c:pt>
                <c:pt idx="195" formatCode="0.00_ ">
                  <c:v>327.38095238095241</c:v>
                </c:pt>
                <c:pt idx="196" formatCode="0.00_ ">
                  <c:v>357.14285714285717</c:v>
                </c:pt>
                <c:pt idx="197" formatCode="0.00_ ">
                  <c:v>386.90476190476193</c:v>
                </c:pt>
                <c:pt idx="198" formatCode="0.00_ ">
                  <c:v>416.66666666666669</c:v>
                </c:pt>
                <c:pt idx="199" formatCode="0.00_ ">
                  <c:v>446.42857142857144</c:v>
                </c:pt>
                <c:pt idx="200" formatCode="0.00_ ">
                  <c:v>476.1904761904762</c:v>
                </c:pt>
                <c:pt idx="201" formatCode="0.00_ ">
                  <c:v>535.71428571428567</c:v>
                </c:pt>
                <c:pt idx="202" formatCode="0.00_ ">
                  <c:v>595.23809523809518</c:v>
                </c:pt>
                <c:pt idx="203" formatCode="0.00_ ">
                  <c:v>654.76190476190482</c:v>
                </c:pt>
                <c:pt idx="204" formatCode="0.00_ ">
                  <c:v>714.28571428571433</c:v>
                </c:pt>
                <c:pt idx="205" formatCode="0.00_ ">
                  <c:v>773.80952380952385</c:v>
                </c:pt>
                <c:pt idx="206" formatCode="0.00_ ">
                  <c:v>833.33333333333337</c:v>
                </c:pt>
                <c:pt idx="207" formatCode="0.00_ ">
                  <c:v>952.38095238095241</c:v>
                </c:pt>
                <c:pt idx="208" formatCode="0.00_ ">
                  <c:v>1000</c:v>
                </c:pt>
              </c:numCache>
            </c:numRef>
          </c:xVal>
          <c:yVal>
            <c:numRef>
              <c:f>'dbg30'!$AF$11:$AF$219</c:f>
              <c:numCache>
                <c:formatCode>0.000_ </c:formatCode>
                <c:ptCount val="20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13.671452702702702</c:v>
                </c:pt>
                <c:pt idx="110">
                  <c:v>14.307605177993528</c:v>
                </c:pt>
                <c:pt idx="111">
                  <c:v>14.959119496855344</c:v>
                </c:pt>
                <c:pt idx="112">
                  <c:v>15.627547770700637</c:v>
                </c:pt>
                <c:pt idx="113">
                  <c:v>16.283333333333331</c:v>
                </c:pt>
                <c:pt idx="114">
                  <c:v>17.596153846153843</c:v>
                </c:pt>
                <c:pt idx="115">
                  <c:v>19.15909090909091</c:v>
                </c:pt>
                <c:pt idx="116">
                  <c:v>20.642857142857146</c:v>
                </c:pt>
                <c:pt idx="117">
                  <c:v>22.05263157894737</c:v>
                </c:pt>
                <c:pt idx="118">
                  <c:v>23.375</c:v>
                </c:pt>
                <c:pt idx="119">
                  <c:v>24.65625</c:v>
                </c:pt>
                <c:pt idx="120">
                  <c:v>25.821428571428569</c:v>
                </c:pt>
                <c:pt idx="121">
                  <c:v>26.981481481481485</c:v>
                </c:pt>
                <c:pt idx="122">
                  <c:v>28.080000000000002</c:v>
                </c:pt>
                <c:pt idx="123">
                  <c:v>30.045454545454543</c:v>
                </c:pt>
                <c:pt idx="124">
                  <c:v>31.846153846153847</c:v>
                </c:pt>
                <c:pt idx="125">
                  <c:v>33.457446808510639</c:v>
                </c:pt>
                <c:pt idx="126">
                  <c:v>34.821428571428569</c:v>
                </c:pt>
                <c:pt idx="127">
                  <c:v>36.036585365853661</c:v>
                </c:pt>
                <c:pt idx="128">
                  <c:v>37.17948717948719</c:v>
                </c:pt>
                <c:pt idx="129">
                  <c:v>39.014084507042249</c:v>
                </c:pt>
                <c:pt idx="130">
                  <c:v>40.588235294117645</c:v>
                </c:pt>
                <c:pt idx="131">
                  <c:v>41.846153846153847</c:v>
                </c:pt>
                <c:pt idx="132">
                  <c:v>42.868852459016388</c:v>
                </c:pt>
                <c:pt idx="133">
                  <c:v>43.719008264462822</c:v>
                </c:pt>
                <c:pt idx="134">
                  <c:v>44.529914529914549</c:v>
                </c:pt>
                <c:pt idx="135">
                  <c:v>45.087719298245631</c:v>
                </c:pt>
                <c:pt idx="136">
                  <c:v>45.663716814159308</c:v>
                </c:pt>
                <c:pt idx="137">
                  <c:v>46.126126126126124</c:v>
                </c:pt>
                <c:pt idx="138">
                  <c:v>46.513761467889879</c:v>
                </c:pt>
                <c:pt idx="139">
                  <c:v>46.880733944954109</c:v>
                </c:pt>
                <c:pt idx="140">
                  <c:v>47.383177570093451</c:v>
                </c:pt>
                <c:pt idx="141">
                  <c:v>47.47619047619046</c:v>
                </c:pt>
                <c:pt idx="142">
                  <c:v>47.348484848484894</c:v>
                </c:pt>
                <c:pt idx="143">
                  <c:v>47.253787878787861</c:v>
                </c:pt>
                <c:pt idx="144">
                  <c:v>46.981132075471727</c:v>
                </c:pt>
                <c:pt idx="145">
                  <c:v>46.722846441947596</c:v>
                </c:pt>
                <c:pt idx="146">
                  <c:v>46.361940298507484</c:v>
                </c:pt>
                <c:pt idx="147">
                  <c:v>45.940959409594051</c:v>
                </c:pt>
                <c:pt idx="148">
                  <c:v>45.512820512820497</c:v>
                </c:pt>
                <c:pt idx="149">
                  <c:v>44.483985765124572</c:v>
                </c:pt>
                <c:pt idx="150">
                  <c:v>43.554006968641133</c:v>
                </c:pt>
                <c:pt idx="151">
                  <c:v>42.517006802721127</c:v>
                </c:pt>
                <c:pt idx="152">
                  <c:v>41.459369817578832</c:v>
                </c:pt>
                <c:pt idx="153">
                  <c:v>40.453074433656923</c:v>
                </c:pt>
                <c:pt idx="154">
                  <c:v>39.370078740157552</c:v>
                </c:pt>
                <c:pt idx="155">
                  <c:v>37.965072133637051</c:v>
                </c:pt>
                <c:pt idx="156">
                  <c:v>36.101083032490948</c:v>
                </c:pt>
                <c:pt idx="157">
                  <c:v>34.387895460797864</c:v>
                </c:pt>
                <c:pt idx="158">
                  <c:v>32.765399737876784</c:v>
                </c:pt>
                <c:pt idx="159">
                  <c:v>31.289111389236488</c:v>
                </c:pt>
                <c:pt idx="160">
                  <c:v>29.922202274087368</c:v>
                </c:pt>
                <c:pt idx="161">
                  <c:v>28.636884306987398</c:v>
                </c:pt>
                <c:pt idx="162">
                  <c:v>27.45744096650192</c:v>
                </c:pt>
                <c:pt idx="163">
                  <c:v>26.385224274406326</c:v>
                </c:pt>
                <c:pt idx="164">
                  <c:v>25.367833587011575</c:v>
                </c:pt>
                <c:pt idx="165">
                  <c:v>24.437927663734129</c:v>
                </c:pt>
                <c:pt idx="166">
                  <c:v>23.207240659085684</c:v>
                </c:pt>
                <c:pt idx="167">
                  <c:v>21.626297577854515</c:v>
                </c:pt>
                <c:pt idx="168">
                  <c:v>20.210185933710576</c:v>
                </c:pt>
                <c:pt idx="169">
                  <c:v>19.008515815085445</c:v>
                </c:pt>
                <c:pt idx="170">
                  <c:v>17.913442247062022</c:v>
                </c:pt>
                <c:pt idx="171">
                  <c:v>16.946854663774133</c:v>
                </c:pt>
                <c:pt idx="172">
                  <c:v>16.093729882837437</c:v>
                </c:pt>
                <c:pt idx="173">
                  <c:v>15.331779712989032</c:v>
                </c:pt>
                <c:pt idx="174">
                  <c:v>14.65244402766379</c:v>
                </c:pt>
                <c:pt idx="175">
                  <c:v>13.589910850184793</c:v>
                </c:pt>
                <c:pt idx="176">
                  <c:v>13.157894736842223</c:v>
                </c:pt>
                <c:pt idx="177">
                  <c:v>11.904761904761585</c:v>
                </c:pt>
                <c:pt idx="178">
                  <c:v>10.869565217390857</c:v>
                </c:pt>
                <c:pt idx="179">
                  <c:v>10.416666666666686</c:v>
                </c:pt>
                <c:pt idx="180">
                  <c:v>10.000000000000114</c:v>
                </c:pt>
                <c:pt idx="181">
                  <c:v>9.4339622641515462</c:v>
                </c:pt>
                <c:pt idx="182">
                  <c:v>8.4745762711864359</c:v>
                </c:pt>
                <c:pt idx="183">
                  <c:v>7.9365079365077236</c:v>
                </c:pt>
                <c:pt idx="184">
                  <c:v>7.3529411764700399</c:v>
                </c:pt>
                <c:pt idx="185">
                  <c:v>6.9444444444436613</c:v>
                </c:pt>
                <c:pt idx="186">
                  <c:v>6.4935064935069704</c:v>
                </c:pt>
                <c:pt idx="187">
                  <c:v>6.2499999999997726</c:v>
                </c:pt>
                <c:pt idx="188">
                  <c:v>5.9523809523819864</c:v>
                </c:pt>
                <c:pt idx="189">
                  <c:v>5.7471264367821959</c:v>
                </c:pt>
                <c:pt idx="190">
                  <c:v>5.4347826086948317</c:v>
                </c:pt>
                <c:pt idx="191">
                  <c:v>5.3191489361702224</c:v>
                </c:pt>
                <c:pt idx="192">
                  <c:v>5.0251256281402448</c:v>
                </c:pt>
                <c:pt idx="193">
                  <c:v>4.7169811320745794</c:v>
                </c:pt>
                <c:pt idx="194">
                  <c:v>4.416961130740674</c:v>
                </c:pt>
                <c:pt idx="195">
                  <c:v>4.1946308724855044</c:v>
                </c:pt>
                <c:pt idx="196">
                  <c:v>3.9936102236438273</c:v>
                </c:pt>
                <c:pt idx="197">
                  <c:v>3.8343558282213053</c:v>
                </c:pt>
                <c:pt idx="198">
                  <c:v>3.6982248520719168</c:v>
                </c:pt>
                <c:pt idx="199">
                  <c:v>3.5714285714277594</c:v>
                </c:pt>
                <c:pt idx="200">
                  <c:v>3.4722222222242181</c:v>
                </c:pt>
                <c:pt idx="201">
                  <c:v>3.346720214193283</c:v>
                </c:pt>
                <c:pt idx="202">
                  <c:v>3.2010243277891277</c:v>
                </c:pt>
                <c:pt idx="203">
                  <c:v>3.0902348578538295</c:v>
                </c:pt>
                <c:pt idx="204">
                  <c:v>2.997601918465989</c:v>
                </c:pt>
                <c:pt idx="205">
                  <c:v>2.9239766081827838</c:v>
                </c:pt>
                <c:pt idx="206">
                  <c:v>2.8604118993125667</c:v>
                </c:pt>
                <c:pt idx="207">
                  <c:v>2.7886224205271901</c:v>
                </c:pt>
                <c:pt idx="208">
                  <c:v>2.7322404371625453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7B5-47B7-A394-65373099B632}"/>
            </c:ext>
          </c:extLst>
        </c:ser>
        <c:ser>
          <c:idx val="4"/>
          <c:order val="3"/>
          <c:tx>
            <c:v>ws2 dEt2 stop</c:v>
          </c:tx>
          <c:spPr>
            <a:ln w="12700">
              <a:solidFill>
                <a:srgbClr val="0070C0"/>
              </a:solidFill>
            </a:ln>
          </c:spPr>
          <c:marker>
            <c:symbol val="triangle"/>
            <c:size val="3"/>
            <c:spPr>
              <a:solidFill>
                <a:srgbClr val="0070C0"/>
              </a:solidFill>
              <a:ln>
                <a:noFill/>
              </a:ln>
            </c:spPr>
          </c:marker>
          <c:xVal>
            <c:numRef>
              <c:f>'dbg30'!$Z$11:$Z$219</c:f>
              <c:numCache>
                <c:formatCode>0.00000_ </c:formatCode>
                <c:ptCount val="209"/>
                <c:pt idx="0">
                  <c:v>1.071427380952381E-5</c:v>
                </c:pt>
                <c:pt idx="1">
                  <c:v>1.1904750000000002E-5</c:v>
                </c:pt>
                <c:pt idx="2">
                  <c:v>1.3095238095238096E-5</c:v>
                </c:pt>
                <c:pt idx="3">
                  <c:v>1.4285714285714284E-5</c:v>
                </c:pt>
                <c:pt idx="4">
                  <c:v>1.5476190476190476E-5</c:v>
                </c:pt>
                <c:pt idx="5">
                  <c:v>1.6666666666666667E-5</c:v>
                </c:pt>
                <c:pt idx="6">
                  <c:v>1.7857142857142858E-5</c:v>
                </c:pt>
                <c:pt idx="7">
                  <c:v>1.9047619047619049E-5</c:v>
                </c:pt>
                <c:pt idx="8">
                  <c:v>2.0238095238095237E-5</c:v>
                </c:pt>
                <c:pt idx="9">
                  <c:v>2.1428571428571428E-5</c:v>
                </c:pt>
                <c:pt idx="10">
                  <c:v>2.380952380952381E-5</c:v>
                </c:pt>
                <c:pt idx="11">
                  <c:v>2.6785714285714284E-5</c:v>
                </c:pt>
                <c:pt idx="12">
                  <c:v>2.9761904761904762E-5</c:v>
                </c:pt>
                <c:pt idx="13">
                  <c:v>3.2738095238095239E-5</c:v>
                </c:pt>
                <c:pt idx="14">
                  <c:v>3.5714285714285717E-5</c:v>
                </c:pt>
                <c:pt idx="15">
                  <c:v>3.8690476190476188E-5</c:v>
                </c:pt>
                <c:pt idx="16">
                  <c:v>4.1666666666666665E-5</c:v>
                </c:pt>
                <c:pt idx="17">
                  <c:v>4.4642857142857143E-5</c:v>
                </c:pt>
                <c:pt idx="18">
                  <c:v>4.761904761904762E-5</c:v>
                </c:pt>
                <c:pt idx="19">
                  <c:v>5.3571428571428569E-5</c:v>
                </c:pt>
                <c:pt idx="20">
                  <c:v>5.9523809523809524E-5</c:v>
                </c:pt>
                <c:pt idx="21">
                  <c:v>6.5476190476190479E-5</c:v>
                </c:pt>
                <c:pt idx="22">
                  <c:v>7.1428571428571434E-5</c:v>
                </c:pt>
                <c:pt idx="23">
                  <c:v>7.7380952380952375E-5</c:v>
                </c:pt>
                <c:pt idx="24">
                  <c:v>8.3333333333333331E-5</c:v>
                </c:pt>
                <c:pt idx="25">
                  <c:v>9.5238095238095241E-5</c:v>
                </c:pt>
                <c:pt idx="26">
                  <c:v>1.0714285714285714E-4</c:v>
                </c:pt>
                <c:pt idx="27">
                  <c:v>1.1904761904761905E-4</c:v>
                </c:pt>
                <c:pt idx="28">
                  <c:v>1.3095238095238096E-4</c:v>
                </c:pt>
                <c:pt idx="29">
                  <c:v>1.4285714285714287E-4</c:v>
                </c:pt>
                <c:pt idx="30">
                  <c:v>1.5476190476190475E-4</c:v>
                </c:pt>
                <c:pt idx="31">
                  <c:v>1.6666666666666666E-4</c:v>
                </c:pt>
                <c:pt idx="32">
                  <c:v>1.7857142857142857E-4</c:v>
                </c:pt>
                <c:pt idx="33">
                  <c:v>1.9047619047619048E-4</c:v>
                </c:pt>
                <c:pt idx="34">
                  <c:v>2.0238095238095239E-4</c:v>
                </c:pt>
                <c:pt idx="35">
                  <c:v>2.1428571428571427E-4</c:v>
                </c:pt>
                <c:pt idx="36">
                  <c:v>2.380952380952381E-4</c:v>
                </c:pt>
                <c:pt idx="37">
                  <c:v>2.6785714285714287E-4</c:v>
                </c:pt>
                <c:pt idx="38">
                  <c:v>2.9761904761904765E-4</c:v>
                </c:pt>
                <c:pt idx="39">
                  <c:v>3.2738095238095237E-4</c:v>
                </c:pt>
                <c:pt idx="40">
                  <c:v>3.5714285714285714E-4</c:v>
                </c:pt>
                <c:pt idx="41">
                  <c:v>3.8690476190476192E-4</c:v>
                </c:pt>
                <c:pt idx="42">
                  <c:v>4.1666666666666669E-4</c:v>
                </c:pt>
                <c:pt idx="43">
                  <c:v>4.4642857142857141E-4</c:v>
                </c:pt>
                <c:pt idx="44">
                  <c:v>4.7619047619047619E-4</c:v>
                </c:pt>
                <c:pt idx="45">
                  <c:v>5.3571428571428574E-4</c:v>
                </c:pt>
                <c:pt idx="46">
                  <c:v>5.9523809523809529E-4</c:v>
                </c:pt>
                <c:pt idx="47">
                  <c:v>6.5476190476190473E-4</c:v>
                </c:pt>
                <c:pt idx="48">
                  <c:v>7.1428571428571429E-4</c:v>
                </c:pt>
                <c:pt idx="49">
                  <c:v>7.7380952380952384E-4</c:v>
                </c:pt>
                <c:pt idx="50">
                  <c:v>8.3333333333333339E-4</c:v>
                </c:pt>
                <c:pt idx="51">
                  <c:v>9.5238095238095238E-4</c:v>
                </c:pt>
                <c:pt idx="52">
                  <c:v>1.0714285714285715E-3</c:v>
                </c:pt>
                <c:pt idx="53">
                  <c:v>1.1904761904761906E-3</c:v>
                </c:pt>
                <c:pt idx="54">
                  <c:v>1.3095238095238095E-3</c:v>
                </c:pt>
                <c:pt idx="55">
                  <c:v>1.4285714285714286E-3</c:v>
                </c:pt>
                <c:pt idx="56">
                  <c:v>1.5476190476190477E-3</c:v>
                </c:pt>
                <c:pt idx="57">
                  <c:v>1.6666666666666668E-3</c:v>
                </c:pt>
                <c:pt idx="58">
                  <c:v>1.7857142857142857E-3</c:v>
                </c:pt>
                <c:pt idx="59">
                  <c:v>1.9047619047619048E-3</c:v>
                </c:pt>
                <c:pt idx="60">
                  <c:v>2.0238095238095241E-3</c:v>
                </c:pt>
                <c:pt idx="61">
                  <c:v>2.142857142857143E-3</c:v>
                </c:pt>
                <c:pt idx="62">
                  <c:v>2.3809523809523812E-3</c:v>
                </c:pt>
                <c:pt idx="63">
                  <c:v>2.6785714285714286E-3</c:v>
                </c:pt>
                <c:pt idx="64">
                  <c:v>2.976190476190476E-3</c:v>
                </c:pt>
                <c:pt idx="65">
                  <c:v>3.2738095238095239E-3</c:v>
                </c:pt>
                <c:pt idx="66">
                  <c:v>3.5714285714285713E-3</c:v>
                </c:pt>
                <c:pt idx="67">
                  <c:v>3.8690476190476192E-3</c:v>
                </c:pt>
                <c:pt idx="68">
                  <c:v>4.1666666666666666E-3</c:v>
                </c:pt>
                <c:pt idx="69">
                  <c:v>4.464285714285714E-3</c:v>
                </c:pt>
                <c:pt idx="70">
                  <c:v>4.7619047619047623E-3</c:v>
                </c:pt>
                <c:pt idx="71">
                  <c:v>5.3571428571428572E-3</c:v>
                </c:pt>
                <c:pt idx="72">
                  <c:v>5.9523809523809521E-3</c:v>
                </c:pt>
                <c:pt idx="73">
                  <c:v>6.5476190476190478E-3</c:v>
                </c:pt>
                <c:pt idx="74">
                  <c:v>7.1428571428571426E-3</c:v>
                </c:pt>
                <c:pt idx="75">
                  <c:v>7.7380952380952384E-3</c:v>
                </c:pt>
                <c:pt idx="76">
                  <c:v>8.3333333333333332E-3</c:v>
                </c:pt>
                <c:pt idx="77">
                  <c:v>9.5238095238095247E-3</c:v>
                </c:pt>
                <c:pt idx="78">
                  <c:v>1.0714285714285714E-2</c:v>
                </c:pt>
                <c:pt idx="79">
                  <c:v>1.1904761904761904E-2</c:v>
                </c:pt>
                <c:pt idx="80">
                  <c:v>1.3095238095238096E-2</c:v>
                </c:pt>
                <c:pt idx="81">
                  <c:v>1.4285714285714285E-2</c:v>
                </c:pt>
                <c:pt idx="82">
                  <c:v>1.5476190476190477E-2</c:v>
                </c:pt>
                <c:pt idx="83">
                  <c:v>1.6666666666666666E-2</c:v>
                </c:pt>
                <c:pt idx="84">
                  <c:v>1.7857142857142856E-2</c:v>
                </c:pt>
                <c:pt idx="85">
                  <c:v>1.9047619047619049E-2</c:v>
                </c:pt>
                <c:pt idx="86">
                  <c:v>2.0238095238095239E-2</c:v>
                </c:pt>
                <c:pt idx="87">
                  <c:v>2.1428571428571429E-2</c:v>
                </c:pt>
                <c:pt idx="88">
                  <c:v>2.3809523809523808E-2</c:v>
                </c:pt>
                <c:pt idx="89">
                  <c:v>2.6785714285714284E-2</c:v>
                </c:pt>
                <c:pt idx="90">
                  <c:v>2.976190476190476E-2</c:v>
                </c:pt>
                <c:pt idx="91">
                  <c:v>3.273809523809524E-2</c:v>
                </c:pt>
                <c:pt idx="92">
                  <c:v>3.5714285714285712E-2</c:v>
                </c:pt>
                <c:pt idx="93">
                  <c:v>3.8690476190476192E-2</c:v>
                </c:pt>
                <c:pt idx="94">
                  <c:v>4.1666666666666664E-2</c:v>
                </c:pt>
                <c:pt idx="95">
                  <c:v>4.4642857142857144E-2</c:v>
                </c:pt>
                <c:pt idx="96">
                  <c:v>4.7619047619047616E-2</c:v>
                </c:pt>
                <c:pt idx="97">
                  <c:v>5.3571428571428568E-2</c:v>
                </c:pt>
                <c:pt idx="98">
                  <c:v>5.9523809523809521E-2</c:v>
                </c:pt>
                <c:pt idx="99">
                  <c:v>6.5476190476190479E-2</c:v>
                </c:pt>
                <c:pt idx="100">
                  <c:v>7.1428571428571425E-2</c:v>
                </c:pt>
                <c:pt idx="101">
                  <c:v>7.7380952380952384E-2</c:v>
                </c:pt>
                <c:pt idx="102">
                  <c:v>8.3333333333333329E-2</c:v>
                </c:pt>
                <c:pt idx="103">
                  <c:v>9.5238095238095233E-2</c:v>
                </c:pt>
                <c:pt idx="104">
                  <c:v>0.10714285714285714</c:v>
                </c:pt>
                <c:pt idx="105">
                  <c:v>0.11904761904761904</c:v>
                </c:pt>
                <c:pt idx="106">
                  <c:v>0.13095238095238096</c:v>
                </c:pt>
                <c:pt idx="107">
                  <c:v>0.14285714285714285</c:v>
                </c:pt>
                <c:pt idx="108">
                  <c:v>0.15476190476190477</c:v>
                </c:pt>
                <c:pt idx="109">
                  <c:v>0.16666666666666666</c:v>
                </c:pt>
                <c:pt idx="110">
                  <c:v>0.17857142857142858</c:v>
                </c:pt>
                <c:pt idx="111">
                  <c:v>0.19047619047619047</c:v>
                </c:pt>
                <c:pt idx="112">
                  <c:v>0.20238095238095238</c:v>
                </c:pt>
                <c:pt idx="113">
                  <c:v>0.21428571428571427</c:v>
                </c:pt>
                <c:pt idx="114">
                  <c:v>0.23809523809523808</c:v>
                </c:pt>
                <c:pt idx="115">
                  <c:v>0.26785714285714285</c:v>
                </c:pt>
                <c:pt idx="116">
                  <c:v>0.29761904761904762</c:v>
                </c:pt>
                <c:pt idx="117">
                  <c:v>0.32738095238095238</c:v>
                </c:pt>
                <c:pt idx="118">
                  <c:v>0.35714285714285715</c:v>
                </c:pt>
                <c:pt idx="119">
                  <c:v>0.38690476190476192</c:v>
                </c:pt>
                <c:pt idx="120">
                  <c:v>0.41666666666666669</c:v>
                </c:pt>
                <c:pt idx="121">
                  <c:v>0.44642857142857145</c:v>
                </c:pt>
                <c:pt idx="122">
                  <c:v>0.47619047619047616</c:v>
                </c:pt>
                <c:pt idx="123">
                  <c:v>0.5357142857142857</c:v>
                </c:pt>
                <c:pt idx="124">
                  <c:v>0.59523809523809523</c:v>
                </c:pt>
                <c:pt idx="125">
                  <c:v>0.65476190476190477</c:v>
                </c:pt>
                <c:pt idx="126">
                  <c:v>0.7142857142857143</c:v>
                </c:pt>
                <c:pt idx="127">
                  <c:v>0.77380952380952384</c:v>
                </c:pt>
                <c:pt idx="128">
                  <c:v>0.83333333333333337</c:v>
                </c:pt>
                <c:pt idx="129">
                  <c:v>0.95238095238095233</c:v>
                </c:pt>
                <c:pt idx="130" formatCode="0.000_ ">
                  <c:v>1.0714285714285714</c:v>
                </c:pt>
                <c:pt idx="131" formatCode="0.000_ ">
                  <c:v>1.1904761904761905</c:v>
                </c:pt>
                <c:pt idx="132" formatCode="0.000_ ">
                  <c:v>1.3095238095238095</c:v>
                </c:pt>
                <c:pt idx="133" formatCode="0.000_ ">
                  <c:v>1.4285714285714286</c:v>
                </c:pt>
                <c:pt idx="134" formatCode="0.000_ ">
                  <c:v>1.5476190476190477</c:v>
                </c:pt>
                <c:pt idx="135" formatCode="0.000_ ">
                  <c:v>1.6666666666666667</c:v>
                </c:pt>
                <c:pt idx="136" formatCode="0.000_ ">
                  <c:v>1.7857142857142858</c:v>
                </c:pt>
                <c:pt idx="137" formatCode="0.000_ ">
                  <c:v>1.9047619047619047</c:v>
                </c:pt>
                <c:pt idx="138" formatCode="0.000_ ">
                  <c:v>2.0238095238095237</c:v>
                </c:pt>
                <c:pt idx="139" formatCode="0.000_ ">
                  <c:v>2.1428571428571428</c:v>
                </c:pt>
                <c:pt idx="140" formatCode="0.000_ ">
                  <c:v>2.3809523809523809</c:v>
                </c:pt>
                <c:pt idx="141" formatCode="0.000_ ">
                  <c:v>2.6785714285714284</c:v>
                </c:pt>
                <c:pt idx="142" formatCode="0.000_ ">
                  <c:v>2.9761904761904763</c:v>
                </c:pt>
                <c:pt idx="143" formatCode="0.000_ ">
                  <c:v>3.2738095238095237</c:v>
                </c:pt>
                <c:pt idx="144" formatCode="0.000_ ">
                  <c:v>3.5714285714285716</c:v>
                </c:pt>
                <c:pt idx="145" formatCode="0.000_ ">
                  <c:v>3.8690476190476191</c:v>
                </c:pt>
                <c:pt idx="146" formatCode="0.000_ ">
                  <c:v>4.166666666666667</c:v>
                </c:pt>
                <c:pt idx="147" formatCode="0.000_ ">
                  <c:v>4.4642857142857144</c:v>
                </c:pt>
                <c:pt idx="148" formatCode="0.000_ ">
                  <c:v>4.7619047619047619</c:v>
                </c:pt>
                <c:pt idx="149" formatCode="0.000_ ">
                  <c:v>5.3571428571428568</c:v>
                </c:pt>
                <c:pt idx="150" formatCode="0.000_ ">
                  <c:v>5.9523809523809526</c:v>
                </c:pt>
                <c:pt idx="151" formatCode="0.000_ ">
                  <c:v>6.5476190476190474</c:v>
                </c:pt>
                <c:pt idx="152" formatCode="0.000_ ">
                  <c:v>7.1428571428571432</c:v>
                </c:pt>
                <c:pt idx="153" formatCode="0.000_ ">
                  <c:v>7.7380952380952381</c:v>
                </c:pt>
                <c:pt idx="154" formatCode="0.000_ ">
                  <c:v>8.3333333333333339</c:v>
                </c:pt>
                <c:pt idx="155" formatCode="0.000_ ">
                  <c:v>9.5238095238095237</c:v>
                </c:pt>
                <c:pt idx="156" formatCode="0.000_ ">
                  <c:v>10.714285714285714</c:v>
                </c:pt>
                <c:pt idx="157" formatCode="0.000_ ">
                  <c:v>11.904761904761905</c:v>
                </c:pt>
                <c:pt idx="158" formatCode="0.000_ ">
                  <c:v>13.095238095238095</c:v>
                </c:pt>
                <c:pt idx="159" formatCode="0.000_ ">
                  <c:v>14.285714285714286</c:v>
                </c:pt>
                <c:pt idx="160" formatCode="0.000_ ">
                  <c:v>15.476190476190476</c:v>
                </c:pt>
                <c:pt idx="161" formatCode="0.000_ ">
                  <c:v>16.666666666666668</c:v>
                </c:pt>
                <c:pt idx="162" formatCode="0.000_ ">
                  <c:v>17.857142857142858</c:v>
                </c:pt>
                <c:pt idx="163" formatCode="0.000_ ">
                  <c:v>19.047619047619047</c:v>
                </c:pt>
                <c:pt idx="164" formatCode="0.000_ ">
                  <c:v>20.238095238095237</c:v>
                </c:pt>
                <c:pt idx="165" formatCode="0.000_ ">
                  <c:v>21.428571428571427</c:v>
                </c:pt>
                <c:pt idx="166" formatCode="0.000_ ">
                  <c:v>23.80952380952381</c:v>
                </c:pt>
                <c:pt idx="167" formatCode="0.000_ ">
                  <c:v>26.785714285714285</c:v>
                </c:pt>
                <c:pt idx="168" formatCode="0.000_ ">
                  <c:v>29.761904761904763</c:v>
                </c:pt>
                <c:pt idx="169" formatCode="0.000_ ">
                  <c:v>32.738095238095241</c:v>
                </c:pt>
                <c:pt idx="170" formatCode="0.000_ ">
                  <c:v>35.714285714285715</c:v>
                </c:pt>
                <c:pt idx="171" formatCode="0.000_ ">
                  <c:v>38.69047619047619</c:v>
                </c:pt>
                <c:pt idx="172" formatCode="0.000_ ">
                  <c:v>41.666666666666664</c:v>
                </c:pt>
                <c:pt idx="173" formatCode="0.000_ ">
                  <c:v>44.642857142857146</c:v>
                </c:pt>
                <c:pt idx="174" formatCode="0.000_ ">
                  <c:v>47.61904761904762</c:v>
                </c:pt>
                <c:pt idx="175" formatCode="0.000_ ">
                  <c:v>53.571428571428569</c:v>
                </c:pt>
                <c:pt idx="176" formatCode="0.000_ ">
                  <c:v>59.523809523809526</c:v>
                </c:pt>
                <c:pt idx="177" formatCode="0.000_ ">
                  <c:v>65.476190476190482</c:v>
                </c:pt>
                <c:pt idx="178" formatCode="0.000_ ">
                  <c:v>71.428571428571431</c:v>
                </c:pt>
                <c:pt idx="179" formatCode="0.000_ ">
                  <c:v>77.38095238095238</c:v>
                </c:pt>
                <c:pt idx="180" formatCode="0.000_ ">
                  <c:v>83.333333333333329</c:v>
                </c:pt>
                <c:pt idx="181" formatCode="0.000_ ">
                  <c:v>95.238095238095241</c:v>
                </c:pt>
                <c:pt idx="182" formatCode="0.00_ ">
                  <c:v>107.14285714285714</c:v>
                </c:pt>
                <c:pt idx="183" formatCode="0.00_ ">
                  <c:v>119.04761904761905</c:v>
                </c:pt>
                <c:pt idx="184" formatCode="0.00_ ">
                  <c:v>130.95238095238096</c:v>
                </c:pt>
                <c:pt idx="185" formatCode="0.00_ ">
                  <c:v>142.85714285714286</c:v>
                </c:pt>
                <c:pt idx="186" formatCode="0.00_ ">
                  <c:v>154.76190476190476</c:v>
                </c:pt>
                <c:pt idx="187" formatCode="0.00_ ">
                  <c:v>166.66666666666666</c:v>
                </c:pt>
                <c:pt idx="188" formatCode="0.00_ ">
                  <c:v>178.57142857142858</c:v>
                </c:pt>
                <c:pt idx="189" formatCode="0.00_ ">
                  <c:v>190.47619047619048</c:v>
                </c:pt>
                <c:pt idx="190" formatCode="0.00_ ">
                  <c:v>202.38095238095238</c:v>
                </c:pt>
                <c:pt idx="191" formatCode="0.00_ ">
                  <c:v>214.28571428571428</c:v>
                </c:pt>
                <c:pt idx="192" formatCode="0.00_ ">
                  <c:v>238.0952380952381</c:v>
                </c:pt>
                <c:pt idx="193" formatCode="0.00_ ">
                  <c:v>267.85714285714283</c:v>
                </c:pt>
                <c:pt idx="194" formatCode="0.00_ ">
                  <c:v>297.61904761904759</c:v>
                </c:pt>
                <c:pt idx="195" formatCode="0.00_ ">
                  <c:v>327.38095238095241</c:v>
                </c:pt>
                <c:pt idx="196" formatCode="0.00_ ">
                  <c:v>357.14285714285717</c:v>
                </c:pt>
                <c:pt idx="197" formatCode="0.00_ ">
                  <c:v>386.90476190476193</c:v>
                </c:pt>
                <c:pt idx="198" formatCode="0.00_ ">
                  <c:v>416.66666666666669</c:v>
                </c:pt>
                <c:pt idx="199" formatCode="0.00_ ">
                  <c:v>446.42857142857144</c:v>
                </c:pt>
                <c:pt idx="200" formatCode="0.00_ ">
                  <c:v>476.1904761904762</c:v>
                </c:pt>
                <c:pt idx="201" formatCode="0.00_ ">
                  <c:v>535.71428571428567</c:v>
                </c:pt>
                <c:pt idx="202" formatCode="0.00_ ">
                  <c:v>595.23809523809518</c:v>
                </c:pt>
                <c:pt idx="203" formatCode="0.00_ ">
                  <c:v>654.76190476190482</c:v>
                </c:pt>
                <c:pt idx="204" formatCode="0.00_ ">
                  <c:v>714.28571428571433</c:v>
                </c:pt>
                <c:pt idx="205" formatCode="0.00_ ">
                  <c:v>773.80952380952385</c:v>
                </c:pt>
                <c:pt idx="206" formatCode="0.00_ ">
                  <c:v>833.33333333333337</c:v>
                </c:pt>
                <c:pt idx="207" formatCode="0.00_ ">
                  <c:v>952.38095238095241</c:v>
                </c:pt>
                <c:pt idx="208" formatCode="0.00_ ">
                  <c:v>1000</c:v>
                </c:pt>
              </c:numCache>
            </c:numRef>
          </c:xVal>
          <c:yVal>
            <c:numRef>
              <c:f>'dbg30'!$AG$11:$AG$219</c:f>
              <c:numCache>
                <c:formatCode>0.000_ </c:formatCode>
                <c:ptCount val="209"/>
                <c:pt idx="0">
                  <c:v>8.9999900000000007E-4</c:v>
                </c:pt>
                <c:pt idx="1">
                  <c:v>9.9999900000000011E-4</c:v>
                </c:pt>
                <c:pt idx="2">
                  <c:v>1.1000000000000001E-3</c:v>
                </c:pt>
                <c:pt idx="3">
                  <c:v>1.1999999999999999E-3</c:v>
                </c:pt>
                <c:pt idx="4">
                  <c:v>1.2999999999999999E-3</c:v>
                </c:pt>
                <c:pt idx="5">
                  <c:v>1.4E-3</c:v>
                </c:pt>
                <c:pt idx="6">
                  <c:v>1.5E-3</c:v>
                </c:pt>
                <c:pt idx="7">
                  <c:v>1.6000000000000001E-3</c:v>
                </c:pt>
                <c:pt idx="8">
                  <c:v>1.6999999999999999E-3</c:v>
                </c:pt>
                <c:pt idx="9">
                  <c:v>1.8E-3</c:v>
                </c:pt>
                <c:pt idx="10">
                  <c:v>2E-3</c:v>
                </c:pt>
                <c:pt idx="11">
                  <c:v>2.2499999999999998E-3</c:v>
                </c:pt>
                <c:pt idx="12">
                  <c:v>2.5000000000000001E-3</c:v>
                </c:pt>
                <c:pt idx="13">
                  <c:v>2.7500000000000003E-3</c:v>
                </c:pt>
                <c:pt idx="14">
                  <c:v>3.0000000000000001E-3</c:v>
                </c:pt>
                <c:pt idx="15">
                  <c:v>3.2499999999999999E-3</c:v>
                </c:pt>
                <c:pt idx="16">
                  <c:v>3.5000000000000001E-3</c:v>
                </c:pt>
                <c:pt idx="17">
                  <c:v>3.7499999999999999E-3</c:v>
                </c:pt>
                <c:pt idx="18">
                  <c:v>4.0000000000000001E-3</c:v>
                </c:pt>
                <c:pt idx="19">
                  <c:v>4.4999999999999997E-3</c:v>
                </c:pt>
                <c:pt idx="20">
                  <c:v>5.0000000000000001E-3</c:v>
                </c:pt>
                <c:pt idx="21">
                  <c:v>5.5000000000000005E-3</c:v>
                </c:pt>
                <c:pt idx="22">
                  <c:v>6.0000000000000001E-3</c:v>
                </c:pt>
                <c:pt idx="23">
                  <c:v>6.4999999999999997E-3</c:v>
                </c:pt>
                <c:pt idx="24">
                  <c:v>7.0000000000000001E-3</c:v>
                </c:pt>
                <c:pt idx="25">
                  <c:v>8.0000000000000002E-3</c:v>
                </c:pt>
                <c:pt idx="26">
                  <c:v>8.9999999999999993E-3</c:v>
                </c:pt>
                <c:pt idx="27">
                  <c:v>0.01</c:v>
                </c:pt>
                <c:pt idx="28">
                  <c:v>1.1000000000000001E-2</c:v>
                </c:pt>
                <c:pt idx="29">
                  <c:v>1.2E-2</c:v>
                </c:pt>
                <c:pt idx="30">
                  <c:v>1.2999999999999999E-2</c:v>
                </c:pt>
                <c:pt idx="31">
                  <c:v>1.4E-2</c:v>
                </c:pt>
                <c:pt idx="32">
                  <c:v>1.4999999999999999E-2</c:v>
                </c:pt>
                <c:pt idx="33">
                  <c:v>1.6E-2</c:v>
                </c:pt>
                <c:pt idx="34">
                  <c:v>1.7000000000000001E-2</c:v>
                </c:pt>
                <c:pt idx="35">
                  <c:v>1.7999999999999999E-2</c:v>
                </c:pt>
                <c:pt idx="36">
                  <c:v>0.02</c:v>
                </c:pt>
                <c:pt idx="37">
                  <c:v>2.2500000000000003E-2</c:v>
                </c:pt>
                <c:pt idx="38">
                  <c:v>2.5000000000000001E-2</c:v>
                </c:pt>
                <c:pt idx="39">
                  <c:v>2.75E-2</c:v>
                </c:pt>
                <c:pt idx="40">
                  <c:v>0.03</c:v>
                </c:pt>
                <c:pt idx="41">
                  <c:v>3.2500000000000001E-2</c:v>
                </c:pt>
                <c:pt idx="42">
                  <c:v>3.5000000000000003E-2</c:v>
                </c:pt>
                <c:pt idx="43">
                  <c:v>3.7499999999999999E-2</c:v>
                </c:pt>
                <c:pt idx="44">
                  <c:v>0.04</c:v>
                </c:pt>
                <c:pt idx="45">
                  <c:v>4.5000000000000005E-2</c:v>
                </c:pt>
                <c:pt idx="46">
                  <c:v>0.05</c:v>
                </c:pt>
                <c:pt idx="47">
                  <c:v>5.5E-2</c:v>
                </c:pt>
                <c:pt idx="48">
                  <c:v>0.06</c:v>
                </c:pt>
                <c:pt idx="49">
                  <c:v>6.5000000000000002E-2</c:v>
                </c:pt>
                <c:pt idx="50">
                  <c:v>7.0000000000000007E-2</c:v>
                </c:pt>
                <c:pt idx="51">
                  <c:v>0.08</c:v>
                </c:pt>
                <c:pt idx="52">
                  <c:v>9.0000000000000011E-2</c:v>
                </c:pt>
                <c:pt idx="53">
                  <c:v>0.1</c:v>
                </c:pt>
                <c:pt idx="54">
                  <c:v>0.11</c:v>
                </c:pt>
                <c:pt idx="55">
                  <c:v>0.12</c:v>
                </c:pt>
                <c:pt idx="56">
                  <c:v>0.13</c:v>
                </c:pt>
                <c:pt idx="57">
                  <c:v>0.14000000000000001</c:v>
                </c:pt>
                <c:pt idx="58">
                  <c:v>0.15</c:v>
                </c:pt>
                <c:pt idx="59">
                  <c:v>0.16</c:v>
                </c:pt>
                <c:pt idx="60">
                  <c:v>0.17</c:v>
                </c:pt>
                <c:pt idx="61">
                  <c:v>0.18000000000000002</c:v>
                </c:pt>
                <c:pt idx="62">
                  <c:v>0.2</c:v>
                </c:pt>
                <c:pt idx="63">
                  <c:v>0.22500000000000001</c:v>
                </c:pt>
                <c:pt idx="64">
                  <c:v>0.25</c:v>
                </c:pt>
                <c:pt idx="65">
                  <c:v>0.27500000000000002</c:v>
                </c:pt>
                <c:pt idx="66">
                  <c:v>0.3</c:v>
                </c:pt>
                <c:pt idx="67">
                  <c:v>0.32500000000000001</c:v>
                </c:pt>
                <c:pt idx="68">
                  <c:v>0.35</c:v>
                </c:pt>
                <c:pt idx="69">
                  <c:v>0.375</c:v>
                </c:pt>
                <c:pt idx="70">
                  <c:v>0.4</c:v>
                </c:pt>
                <c:pt idx="71">
                  <c:v>0.45</c:v>
                </c:pt>
                <c:pt idx="72">
                  <c:v>0.5</c:v>
                </c:pt>
                <c:pt idx="73">
                  <c:v>0.55000000000000004</c:v>
                </c:pt>
                <c:pt idx="74">
                  <c:v>0.6</c:v>
                </c:pt>
                <c:pt idx="75">
                  <c:v>0.65</c:v>
                </c:pt>
                <c:pt idx="76">
                  <c:v>0.7</c:v>
                </c:pt>
                <c:pt idx="77">
                  <c:v>0.8</c:v>
                </c:pt>
                <c:pt idx="78">
                  <c:v>0.9</c:v>
                </c:pt>
                <c:pt idx="79">
                  <c:v>1</c:v>
                </c:pt>
                <c:pt idx="80">
                  <c:v>1.1000000000000001</c:v>
                </c:pt>
                <c:pt idx="81">
                  <c:v>1.2</c:v>
                </c:pt>
                <c:pt idx="82">
                  <c:v>1.3</c:v>
                </c:pt>
                <c:pt idx="83">
                  <c:v>1.4</c:v>
                </c:pt>
                <c:pt idx="84">
                  <c:v>1.5</c:v>
                </c:pt>
                <c:pt idx="85">
                  <c:v>1.6</c:v>
                </c:pt>
                <c:pt idx="86">
                  <c:v>1.7000000000000002</c:v>
                </c:pt>
                <c:pt idx="87">
                  <c:v>1.8</c:v>
                </c:pt>
                <c:pt idx="88">
                  <c:v>2</c:v>
                </c:pt>
                <c:pt idx="89">
                  <c:v>2.25</c:v>
                </c:pt>
                <c:pt idx="90">
                  <c:v>2.5</c:v>
                </c:pt>
                <c:pt idx="91">
                  <c:v>2.75</c:v>
                </c:pt>
                <c:pt idx="92">
                  <c:v>3</c:v>
                </c:pt>
                <c:pt idx="93">
                  <c:v>3.25</c:v>
                </c:pt>
                <c:pt idx="94">
                  <c:v>3.5</c:v>
                </c:pt>
                <c:pt idx="95">
                  <c:v>3.75</c:v>
                </c:pt>
                <c:pt idx="96">
                  <c:v>4</c:v>
                </c:pt>
                <c:pt idx="97">
                  <c:v>4.5</c:v>
                </c:pt>
                <c:pt idx="98">
                  <c:v>5</c:v>
                </c:pt>
                <c:pt idx="99">
                  <c:v>5.5</c:v>
                </c:pt>
                <c:pt idx="100">
                  <c:v>6</c:v>
                </c:pt>
                <c:pt idx="101">
                  <c:v>6.5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13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7B5-47B7-A394-65373099B632}"/>
            </c:ext>
          </c:extLst>
        </c:ser>
        <c:ser>
          <c:idx val="5"/>
          <c:order val="4"/>
          <c:tx>
            <c:v>Eu10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'dbg30'!$S$4</c:f>
              <c:numCache>
                <c:formatCode>0.00</c:formatCode>
                <c:ptCount val="1"/>
                <c:pt idx="0">
                  <c:v>0.5</c:v>
                </c:pt>
              </c:numCache>
            </c:numRef>
          </c:xVal>
          <c:yVal>
            <c:numRef>
              <c:f>'dbg30'!$V$4</c:f>
              <c:numCache>
                <c:formatCode>0.000_ ;[Red]\-0.000\ </c:formatCode>
                <c:ptCount val="1"/>
                <c:pt idx="0">
                  <c:v>20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7B5-47B7-A394-65373099B632}"/>
            </c:ext>
          </c:extLst>
        </c:ser>
        <c:ser>
          <c:idx val="0"/>
          <c:order val="5"/>
          <c:tx>
            <c:v>dEt Goal</c:v>
          </c:tx>
          <c:spPr>
            <a:ln w="15875">
              <a:solidFill>
                <a:srgbClr val="FF0000"/>
              </a:solidFill>
            </a:ln>
          </c:spPr>
          <c:marker>
            <c:symbol val="circle"/>
            <c:size val="3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'dbg30'!$AC$4:$AC$5</c:f>
              <c:numCache>
                <c:formatCode>General</c:formatCode>
                <c:ptCount val="2"/>
                <c:pt idx="0">
                  <c:v>1.071427380952381E-5</c:v>
                </c:pt>
                <c:pt idx="1">
                  <c:v>1000</c:v>
                </c:pt>
              </c:numCache>
            </c:numRef>
          </c:xVal>
          <c:yVal>
            <c:numRef>
              <c:f>'dbg30'!$AF$4:$AF$5</c:f>
              <c:numCache>
                <c:formatCode>0.000_ ;[Red]\-0.000\ 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7B5-47B7-A394-65373099B632}"/>
            </c:ext>
          </c:extLst>
        </c:ser>
        <c:ser>
          <c:idx val="6"/>
          <c:order val="6"/>
          <c:tx>
            <c:v>E20 stop</c:v>
          </c:tx>
          <c:spPr>
            <a:ln>
              <a:noFill/>
            </a:ln>
          </c:spPr>
          <c:marker>
            <c:symbol val="triangle"/>
            <c:size val="9"/>
            <c:spPr>
              <a:solidFill>
                <a:srgbClr val="0000FF"/>
              </a:solidFill>
              <a:ln>
                <a:noFill/>
              </a:ln>
            </c:spPr>
          </c:marker>
          <c:xVal>
            <c:numRef>
              <c:f>'dbg30'!$E$19</c:f>
              <c:numCache>
                <c:formatCode>0.000_ </c:formatCode>
                <c:ptCount val="1"/>
                <c:pt idx="0">
                  <c:v>0.15724206349206349</c:v>
                </c:pt>
              </c:numCache>
            </c:numRef>
          </c:xVal>
          <c:yVal>
            <c:numRef>
              <c:f>'dbg30'!$L$19</c:f>
              <c:numCache>
                <c:formatCode>0.00_ </c:formatCode>
                <c:ptCount val="1"/>
                <c:pt idx="0">
                  <c:v>13.208333333333332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7B5-47B7-A394-65373099B632}"/>
            </c:ext>
          </c:extLst>
        </c:ser>
        <c:ser>
          <c:idx val="7"/>
          <c:order val="7"/>
          <c:tx>
            <c:v>dEt Found Eh</c:v>
          </c:tx>
          <c:spPr>
            <a:ln>
              <a:noFill/>
            </a:ln>
          </c:spPr>
          <c:marker>
            <c:symbol val="x"/>
            <c:size val="9"/>
            <c:spPr>
              <a:noFill/>
              <a:ln>
                <a:solidFill>
                  <a:srgbClr val="FF00FF"/>
                </a:solidFill>
              </a:ln>
            </c:spPr>
          </c:marker>
          <c:xVal>
            <c:numRef>
              <c:f>'dbg30'!$E$26</c:f>
              <c:numCache>
                <c:formatCode>0.000</c:formatCode>
                <c:ptCount val="1"/>
                <c:pt idx="0">
                  <c:v>30.282474729022145</c:v>
                </c:pt>
              </c:numCache>
            </c:numRef>
          </c:xVal>
          <c:yVal>
            <c:numRef>
              <c:f>'dbg30'!$L$26</c:f>
              <c:numCache>
                <c:formatCode>0.000_ </c:formatCode>
                <c:ptCount val="1"/>
                <c:pt idx="0">
                  <c:v>19.008515815085147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7B5-47B7-A394-65373099B632}"/>
            </c:ext>
          </c:extLst>
        </c:ser>
        <c:ser>
          <c:idx val="8"/>
          <c:order val="8"/>
          <c:tx>
            <c:v>dEt Found El</c:v>
          </c:tx>
          <c:spPr>
            <a:ln>
              <a:noFill/>
            </a:ln>
          </c:spPr>
          <c:marker>
            <c:symbol val="x"/>
            <c:size val="9"/>
            <c:spPr>
              <a:noFill/>
              <a:ln>
                <a:solidFill>
                  <a:srgbClr val="006600"/>
                </a:solidFill>
              </a:ln>
            </c:spPr>
          </c:marker>
          <c:xVal>
            <c:numRef>
              <c:f>'dbg30'!$E$28</c:f>
              <c:numCache>
                <c:formatCode>0.000</c:formatCode>
                <c:ptCount val="1"/>
                <c:pt idx="0">
                  <c:v>0.28472439303949149</c:v>
                </c:pt>
              </c:numCache>
            </c:numRef>
          </c:xVal>
          <c:yVal>
            <c:numRef>
              <c:f>'dbg30'!$L$28</c:f>
              <c:numCache>
                <c:formatCode>0.000_ </c:formatCode>
                <c:ptCount val="1"/>
                <c:pt idx="0">
                  <c:v>20.00920031828128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37B5-47B7-A394-65373099B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703216"/>
        <c:axId val="464682440"/>
      </c:scatterChart>
      <c:valAx>
        <c:axId val="464703216"/>
        <c:scaling>
          <c:logBase val="10"/>
          <c:orientation val="minMax"/>
          <c:min val="1.0000000000000002E-3"/>
        </c:scaling>
        <c:delete val="0"/>
        <c:axPos val="b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</c:majorGridlines>
        <c:minorGridlines>
          <c:spPr>
            <a:ln>
              <a:solidFill>
                <a:srgbClr val="CCECFF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800"/>
                </a:pPr>
                <a:r>
                  <a:rPr lang="en-US" sz="800"/>
                  <a:t>Eu10/20 [MeV/u]</a:t>
                </a:r>
                <a:endParaRPr lang="ja-JP" sz="800"/>
              </a:p>
            </c:rich>
          </c:tx>
          <c:layout>
            <c:manualLayout>
              <c:xMode val="edge"/>
              <c:yMode val="edge"/>
              <c:x val="0.72865138888888892"/>
              <c:y val="0.82106319444444442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cross"/>
        <c:minorTickMark val="in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4682440"/>
        <c:crosses val="autoZero"/>
        <c:crossBetween val="midCat"/>
      </c:valAx>
      <c:valAx>
        <c:axId val="464682440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12700">
              <a:solidFill>
                <a:schemeClr val="tx2"/>
              </a:solidFill>
              <a:prstDash val="sysDash"/>
            </a:ln>
          </c:spPr>
        </c:majorGridlines>
        <c:min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800"/>
                </a:pPr>
                <a:r>
                  <a:rPr lang="en-US" sz="800"/>
                  <a:t>dEt1/2</a:t>
                </a:r>
                <a:r>
                  <a:rPr lang="en-US" sz="800" baseline="0"/>
                  <a:t> [MeV/u]</a:t>
                </a:r>
                <a:endParaRPr lang="ja-JP" sz="800"/>
              </a:p>
            </c:rich>
          </c:tx>
          <c:layout>
            <c:manualLayout>
              <c:xMode val="edge"/>
              <c:yMode val="edge"/>
              <c:x val="1.4534166666666667E-2"/>
              <c:y val="0.61555648148148145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cross"/>
        <c:minorTickMark val="out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464703216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3.8438888888888884E-3"/>
          <c:y val="0.84279212962962957"/>
          <c:w val="0.70731944444444439"/>
          <c:h val="0.15544398148148147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3175">
      <a:noFill/>
    </a:ln>
  </c:spPr>
  <c:txPr>
    <a:bodyPr/>
    <a:lstStyle/>
    <a:p>
      <a:pPr>
        <a:defRPr b="0" baseline="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en-US" sz="1000" b="1"/>
              <a:t>Eu</a:t>
            </a:r>
            <a:r>
              <a:rPr lang="en-US" sz="1000" b="1" baseline="0"/>
              <a:t> </a:t>
            </a:r>
            <a:r>
              <a:rPr lang="en-US" sz="1000" b="1"/>
              <a:t>dEu interpol </a:t>
            </a:r>
          </a:p>
        </c:rich>
      </c:tx>
      <c:layout>
        <c:manualLayout>
          <c:xMode val="edge"/>
          <c:yMode val="edge"/>
          <c:x val="1.2274999999999999E-2"/>
          <c:y val="1.1907499999999998E-2"/>
        </c:manualLayout>
      </c:layout>
      <c:overlay val="1"/>
      <c:spPr>
        <a:solidFill>
          <a:schemeClr val="bg1"/>
        </a:solidFill>
        <a:ln>
          <a:solidFill>
            <a:srgbClr val="00B05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8261805555555555"/>
          <c:y val="0.10230555555555555"/>
          <c:w val="0.76299548611111112"/>
          <c:h val="0.78033333333333332"/>
        </c:manualLayout>
      </c:layout>
      <c:scatterChart>
        <c:scatterStyle val="lineMarker"/>
        <c:varyColors val="0"/>
        <c:ser>
          <c:idx val="3"/>
          <c:order val="0"/>
          <c:tx>
            <c:v>tbl</c:v>
          </c:tx>
          <c:spPr>
            <a:ln w="12700">
              <a:solidFill>
                <a:srgbClr val="006600"/>
              </a:solidFill>
            </a:ln>
          </c:spPr>
          <c:marker>
            <c:symbol val="circle"/>
            <c:size val="5"/>
            <c:spPr>
              <a:noFill/>
              <a:ln>
                <a:solidFill>
                  <a:srgbClr val="006600"/>
                </a:solidFill>
              </a:ln>
            </c:spPr>
          </c:marker>
          <c:xVal>
            <c:numRef>
              <c:f>'dbg31'!$P$41:$P$45</c:f>
              <c:numCache>
                <c:formatCode>0.00_ </c:formatCode>
                <c:ptCount val="5"/>
                <c:pt idx="0">
                  <c:v>5.9523809523809526</c:v>
                </c:pt>
                <c:pt idx="1">
                  <c:v>6.5476190476190474</c:v>
                </c:pt>
                <c:pt idx="2">
                  <c:v>7.1428571428571432</c:v>
                </c:pt>
                <c:pt idx="3">
                  <c:v>7.7380952380952381</c:v>
                </c:pt>
                <c:pt idx="4">
                  <c:v>8.3333333333333339</c:v>
                </c:pt>
              </c:numCache>
            </c:numRef>
          </c:xVal>
          <c:yVal>
            <c:numRef>
              <c:f>'dbg31'!$T$41:$T$45</c:f>
              <c:numCache>
                <c:formatCode>0.0000_ </c:formatCode>
                <c:ptCount val="5"/>
                <c:pt idx="0">
                  <c:v>0.51850008296001349</c:v>
                </c:pt>
                <c:pt idx="1">
                  <c:v>0.50615484288953727</c:v>
                </c:pt>
                <c:pt idx="2">
                  <c:v>0.493563926399748</c:v>
                </c:pt>
                <c:pt idx="3">
                  <c:v>0.48158421944829666</c:v>
                </c:pt>
                <c:pt idx="4">
                  <c:v>0.46869141357330424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CBA-4BB6-B393-45ED39D96A6D}"/>
            </c:ext>
          </c:extLst>
        </c:ser>
        <c:ser>
          <c:idx val="0"/>
          <c:order val="1"/>
          <c:tx>
            <c:v>val</c:v>
          </c:tx>
          <c:spPr>
            <a:ln>
              <a:noFill/>
            </a:ln>
          </c:spPr>
          <c:marker>
            <c:symbol val="x"/>
            <c:size val="10"/>
            <c:spPr>
              <a:noFill/>
              <a:ln w="19050">
                <a:solidFill>
                  <a:srgbClr val="FF00FF"/>
                </a:solidFill>
              </a:ln>
            </c:spPr>
          </c:marker>
          <c:xVal>
            <c:numRef>
              <c:f>'dbg31'!$P$43</c:f>
              <c:numCache>
                <c:formatCode>0.00_ </c:formatCode>
                <c:ptCount val="1"/>
                <c:pt idx="0">
                  <c:v>7.1428571428571432</c:v>
                </c:pt>
              </c:numCache>
            </c:numRef>
          </c:xVal>
          <c:yVal>
            <c:numRef>
              <c:f>'dbg31'!$T$43</c:f>
              <c:numCache>
                <c:formatCode>0.0000_ </c:formatCode>
                <c:ptCount val="1"/>
                <c:pt idx="0">
                  <c:v>0.493563926399748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CBA-4BB6-B393-45ED39D96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676560"/>
        <c:axId val="464671856"/>
      </c:scatterChart>
      <c:valAx>
        <c:axId val="46467656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</c:majorGridlines>
        <c:minorGridlines>
          <c:spPr>
            <a:ln>
              <a:solidFill>
                <a:srgbClr val="CCECFF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800"/>
                </a:pPr>
                <a:r>
                  <a:rPr lang="en-US" sz="800"/>
                  <a:t>Eu20 [MeV/A]</a:t>
                </a:r>
                <a:endParaRPr lang="ja-JP" sz="800"/>
              </a:p>
            </c:rich>
          </c:tx>
          <c:layout>
            <c:manualLayout>
              <c:xMode val="edge"/>
              <c:yMode val="edge"/>
              <c:x val="0.43411875"/>
              <c:y val="0.94214444444444434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cross"/>
        <c:minorTickMark val="in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4671856"/>
        <c:crosses val="autoZero"/>
        <c:crossBetween val="midCat"/>
      </c:valAx>
      <c:valAx>
        <c:axId val="464671856"/>
        <c:scaling>
          <c:orientation val="minMax"/>
        </c:scaling>
        <c:delete val="0"/>
        <c:axPos val="l"/>
        <c:majorGridlines>
          <c:spPr>
            <a:ln w="12700">
              <a:solidFill>
                <a:schemeClr val="tx2"/>
              </a:solidFill>
              <a:prstDash val="sysDash"/>
            </a:ln>
          </c:spPr>
        </c:majorGridlines>
        <c:min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800"/>
                </a:pPr>
                <a:r>
                  <a:rPr lang="en-US" sz="800"/>
                  <a:t>dEu2</a:t>
                </a:r>
                <a:r>
                  <a:rPr lang="en-US" sz="800" baseline="0"/>
                  <a:t> [MeV/u]</a:t>
                </a:r>
                <a:r>
                  <a:rPr lang="en-US" sz="800"/>
                  <a:t> </a:t>
                </a:r>
                <a:endParaRPr lang="ja-JP" sz="800"/>
              </a:p>
            </c:rich>
          </c:tx>
          <c:layout>
            <c:manualLayout>
              <c:xMode val="edge"/>
              <c:yMode val="edge"/>
              <c:x val="1.1006520033421825E-2"/>
              <c:y val="0.2626343001165013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cross"/>
        <c:minorTickMark val="out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464676560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</a:ln>
  </c:spPr>
  <c:txPr>
    <a:bodyPr/>
    <a:lstStyle/>
    <a:p>
      <a:pPr>
        <a:defRPr b="0" baseline="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n-US" sz="1000" b="1"/>
              <a:t>Eu</a:t>
            </a:r>
            <a:r>
              <a:rPr lang="en-US" sz="1000" b="1" baseline="0"/>
              <a:t> </a:t>
            </a:r>
            <a:r>
              <a:rPr lang="en-US" sz="1000" b="1"/>
              <a:t>dEu Table search</a:t>
            </a:r>
          </a:p>
        </c:rich>
      </c:tx>
      <c:layout>
        <c:manualLayout>
          <c:xMode val="edge"/>
          <c:yMode val="edge"/>
          <c:x val="1.3598055555555561E-2"/>
          <c:y val="5.4398148148148149E-3"/>
        </c:manualLayout>
      </c:layout>
      <c:overlay val="1"/>
      <c:spPr>
        <a:solidFill>
          <a:schemeClr val="bg1"/>
        </a:solidFill>
        <a:ln>
          <a:solidFill>
            <a:srgbClr val="00B05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7.8107499999999996E-2"/>
          <c:y val="7.9375000000000001E-2"/>
          <c:w val="0.87250361111111108"/>
          <c:h val="0.76798611111111115"/>
        </c:manualLayout>
      </c:layout>
      <c:scatterChart>
        <c:scatterStyle val="lineMarker"/>
        <c:varyColors val="0"/>
        <c:ser>
          <c:idx val="2"/>
          <c:order val="0"/>
          <c:tx>
            <c:v>ws1 dEu1</c:v>
          </c:tx>
          <c:spPr>
            <a:ln w="12700">
              <a:solidFill>
                <a:srgbClr val="6600FF"/>
              </a:solidFill>
            </a:ln>
          </c:spPr>
          <c:marker>
            <c:symbol val="circle"/>
            <c:size val="3"/>
            <c:spPr>
              <a:noFill/>
              <a:ln>
                <a:solidFill>
                  <a:srgbClr val="6600FF"/>
                </a:solidFill>
              </a:ln>
            </c:spPr>
          </c:marker>
          <c:xVal>
            <c:numRef>
              <c:f>'dbg30'!$P$11:$P$219</c:f>
              <c:numCache>
                <c:formatCode>0.00000_ </c:formatCode>
                <c:ptCount val="209"/>
                <c:pt idx="0">
                  <c:v>9.9999750000000008E-6</c:v>
                </c:pt>
                <c:pt idx="1">
                  <c:v>1.1249975000000001E-5</c:v>
                </c:pt>
                <c:pt idx="2">
                  <c:v>1.2499975000000001E-5</c:v>
                </c:pt>
                <c:pt idx="3">
                  <c:v>1.3749975E-5</c:v>
                </c:pt>
                <c:pt idx="4">
                  <c:v>1.4999975E-5</c:v>
                </c:pt>
                <c:pt idx="5">
                  <c:v>1.6249975E-5</c:v>
                </c:pt>
                <c:pt idx="6">
                  <c:v>1.7499975E-5</c:v>
                </c:pt>
                <c:pt idx="7">
                  <c:v>1.9999975E-5</c:v>
                </c:pt>
                <c:pt idx="8">
                  <c:v>2.2499975000000003E-5</c:v>
                </c:pt>
                <c:pt idx="9">
                  <c:v>2.4999975000000003E-5</c:v>
                </c:pt>
                <c:pt idx="10">
                  <c:v>2.7500000000000001E-5</c:v>
                </c:pt>
                <c:pt idx="11">
                  <c:v>2.9999999999999997E-5</c:v>
                </c:pt>
                <c:pt idx="12">
                  <c:v>3.2499999999999997E-5</c:v>
                </c:pt>
                <c:pt idx="13">
                  <c:v>3.4999999999999997E-5</c:v>
                </c:pt>
                <c:pt idx="14">
                  <c:v>3.7500000000000003E-5</c:v>
                </c:pt>
                <c:pt idx="15">
                  <c:v>4.0000000000000003E-5</c:v>
                </c:pt>
                <c:pt idx="16">
                  <c:v>4.2499999999999996E-5</c:v>
                </c:pt>
                <c:pt idx="17">
                  <c:v>4.4999999999999996E-5</c:v>
                </c:pt>
                <c:pt idx="18">
                  <c:v>5.0000000000000002E-5</c:v>
                </c:pt>
                <c:pt idx="19">
                  <c:v>5.6249999999999998E-5</c:v>
                </c:pt>
                <c:pt idx="20">
                  <c:v>6.2500000000000001E-5</c:v>
                </c:pt>
                <c:pt idx="21">
                  <c:v>6.8749999999999991E-5</c:v>
                </c:pt>
                <c:pt idx="22">
                  <c:v>7.5000000000000007E-5</c:v>
                </c:pt>
                <c:pt idx="23">
                  <c:v>8.1249999999999996E-5</c:v>
                </c:pt>
                <c:pt idx="24">
                  <c:v>8.7499999999999999E-5</c:v>
                </c:pt>
                <c:pt idx="25">
                  <c:v>9.3750000000000002E-5</c:v>
                </c:pt>
                <c:pt idx="26">
                  <c:v>1E-4</c:v>
                </c:pt>
                <c:pt idx="27">
                  <c:v>1.125E-4</c:v>
                </c:pt>
                <c:pt idx="28">
                  <c:v>1.25E-4</c:v>
                </c:pt>
                <c:pt idx="29">
                  <c:v>1.3749999999999998E-4</c:v>
                </c:pt>
                <c:pt idx="30">
                  <c:v>1.5000000000000001E-4</c:v>
                </c:pt>
                <c:pt idx="31">
                  <c:v>1.6249999999999999E-4</c:v>
                </c:pt>
                <c:pt idx="32">
                  <c:v>1.75E-4</c:v>
                </c:pt>
                <c:pt idx="33">
                  <c:v>2.0000000000000001E-4</c:v>
                </c:pt>
                <c:pt idx="34">
                  <c:v>2.2499999999999999E-4</c:v>
                </c:pt>
                <c:pt idx="35">
                  <c:v>2.5000000000000001E-4</c:v>
                </c:pt>
                <c:pt idx="36">
                  <c:v>2.7499999999999996E-4</c:v>
                </c:pt>
                <c:pt idx="37">
                  <c:v>3.0000000000000003E-4</c:v>
                </c:pt>
                <c:pt idx="38">
                  <c:v>3.2499999999999999E-4</c:v>
                </c:pt>
                <c:pt idx="39">
                  <c:v>3.5E-4</c:v>
                </c:pt>
                <c:pt idx="40">
                  <c:v>3.7500000000000001E-4</c:v>
                </c:pt>
                <c:pt idx="41">
                  <c:v>4.0000000000000002E-4</c:v>
                </c:pt>
                <c:pt idx="42">
                  <c:v>4.2500000000000003E-4</c:v>
                </c:pt>
                <c:pt idx="43">
                  <c:v>4.4999999999999999E-4</c:v>
                </c:pt>
                <c:pt idx="44">
                  <c:v>5.0000000000000001E-4</c:v>
                </c:pt>
                <c:pt idx="45">
                  <c:v>5.6249999999999996E-4</c:v>
                </c:pt>
                <c:pt idx="46">
                  <c:v>6.2500000000000001E-4</c:v>
                </c:pt>
                <c:pt idx="47">
                  <c:v>6.8749999999999996E-4</c:v>
                </c:pt>
                <c:pt idx="48">
                  <c:v>7.5000000000000002E-4</c:v>
                </c:pt>
                <c:pt idx="49">
                  <c:v>8.1250000000000007E-4</c:v>
                </c:pt>
                <c:pt idx="50">
                  <c:v>8.7500000000000013E-4</c:v>
                </c:pt>
                <c:pt idx="51">
                  <c:v>9.3749999999999997E-4</c:v>
                </c:pt>
                <c:pt idx="52">
                  <c:v>1E-3</c:v>
                </c:pt>
                <c:pt idx="53">
                  <c:v>1.1249999999999999E-3</c:v>
                </c:pt>
                <c:pt idx="54">
                  <c:v>1.25E-3</c:v>
                </c:pt>
                <c:pt idx="55">
                  <c:v>1.3749999999999999E-3</c:v>
                </c:pt>
                <c:pt idx="56">
                  <c:v>1.5E-3</c:v>
                </c:pt>
                <c:pt idx="57">
                  <c:v>1.6250000000000001E-3</c:v>
                </c:pt>
                <c:pt idx="58">
                  <c:v>1.7500000000000003E-3</c:v>
                </c:pt>
                <c:pt idx="59">
                  <c:v>2E-3</c:v>
                </c:pt>
                <c:pt idx="60">
                  <c:v>2.2499999999999998E-3</c:v>
                </c:pt>
                <c:pt idx="61">
                  <c:v>2.5000000000000001E-3</c:v>
                </c:pt>
                <c:pt idx="62">
                  <c:v>2.7499999999999998E-3</c:v>
                </c:pt>
                <c:pt idx="63">
                  <c:v>3.0000000000000001E-3</c:v>
                </c:pt>
                <c:pt idx="64">
                  <c:v>3.2500000000000003E-3</c:v>
                </c:pt>
                <c:pt idx="65">
                  <c:v>3.5000000000000005E-3</c:v>
                </c:pt>
                <c:pt idx="66">
                  <c:v>3.7499999999999999E-3</c:v>
                </c:pt>
                <c:pt idx="67">
                  <c:v>4.0000000000000001E-3</c:v>
                </c:pt>
                <c:pt idx="68">
                  <c:v>4.2500000000000003E-3</c:v>
                </c:pt>
                <c:pt idx="69">
                  <c:v>4.4999999999999997E-3</c:v>
                </c:pt>
                <c:pt idx="70">
                  <c:v>5.0000000000000001E-3</c:v>
                </c:pt>
                <c:pt idx="71">
                  <c:v>5.6249999999999998E-3</c:v>
                </c:pt>
                <c:pt idx="72">
                  <c:v>6.2500000000000003E-3</c:v>
                </c:pt>
                <c:pt idx="73">
                  <c:v>6.8750000000000009E-3</c:v>
                </c:pt>
                <c:pt idx="74">
                  <c:v>7.4999999999999997E-3</c:v>
                </c:pt>
                <c:pt idx="75">
                  <c:v>8.1250000000000003E-3</c:v>
                </c:pt>
                <c:pt idx="76">
                  <c:v>8.7499999999999991E-3</c:v>
                </c:pt>
                <c:pt idx="77">
                  <c:v>9.3749999999999997E-3</c:v>
                </c:pt>
                <c:pt idx="78">
                  <c:v>0.01</c:v>
                </c:pt>
                <c:pt idx="79">
                  <c:v>1.125E-2</c:v>
                </c:pt>
                <c:pt idx="80">
                  <c:v>1.2500000000000001E-2</c:v>
                </c:pt>
                <c:pt idx="81">
                  <c:v>1.3750000000000002E-2</c:v>
                </c:pt>
                <c:pt idx="82">
                  <c:v>1.4999999999999999E-2</c:v>
                </c:pt>
                <c:pt idx="83">
                  <c:v>1.6250000000000001E-2</c:v>
                </c:pt>
                <c:pt idx="84">
                  <c:v>1.7499999999999998E-2</c:v>
                </c:pt>
                <c:pt idx="85">
                  <c:v>0.02</c:v>
                </c:pt>
                <c:pt idx="86">
                  <c:v>2.2499999999999999E-2</c:v>
                </c:pt>
                <c:pt idx="87">
                  <c:v>2.5000000000000001E-2</c:v>
                </c:pt>
                <c:pt idx="88">
                  <c:v>2.7500000000000004E-2</c:v>
                </c:pt>
                <c:pt idx="89">
                  <c:v>0.03</c:v>
                </c:pt>
                <c:pt idx="90">
                  <c:v>3.2500000000000001E-2</c:v>
                </c:pt>
                <c:pt idx="91">
                  <c:v>3.4999999999999996E-2</c:v>
                </c:pt>
                <c:pt idx="92">
                  <c:v>3.7499999999999999E-2</c:v>
                </c:pt>
                <c:pt idx="93">
                  <c:v>0.04</c:v>
                </c:pt>
                <c:pt idx="94">
                  <c:v>4.2499999999999996E-2</c:v>
                </c:pt>
                <c:pt idx="95">
                  <c:v>4.4999999999999998E-2</c:v>
                </c:pt>
                <c:pt idx="96">
                  <c:v>0.05</c:v>
                </c:pt>
                <c:pt idx="97">
                  <c:v>5.6250000000000001E-2</c:v>
                </c:pt>
                <c:pt idx="98">
                  <c:v>6.25E-2</c:v>
                </c:pt>
                <c:pt idx="99">
                  <c:v>6.8750000000000006E-2</c:v>
                </c:pt>
                <c:pt idx="100">
                  <c:v>7.4999999999999997E-2</c:v>
                </c:pt>
                <c:pt idx="101">
                  <c:v>8.1250000000000003E-2</c:v>
                </c:pt>
                <c:pt idx="102">
                  <c:v>8.7499999999999994E-2</c:v>
                </c:pt>
                <c:pt idx="103">
                  <c:v>9.375E-2</c:v>
                </c:pt>
                <c:pt idx="104">
                  <c:v>0.1</c:v>
                </c:pt>
                <c:pt idx="105">
                  <c:v>0.1125</c:v>
                </c:pt>
                <c:pt idx="106">
                  <c:v>0.125</c:v>
                </c:pt>
                <c:pt idx="107">
                  <c:v>0.13750000000000001</c:v>
                </c:pt>
                <c:pt idx="108">
                  <c:v>0.15</c:v>
                </c:pt>
                <c:pt idx="109">
                  <c:v>0.16250000000000001</c:v>
                </c:pt>
                <c:pt idx="110">
                  <c:v>0.17499999999999999</c:v>
                </c:pt>
                <c:pt idx="111">
                  <c:v>0.2</c:v>
                </c:pt>
                <c:pt idx="112">
                  <c:v>0.22500000000000001</c:v>
                </c:pt>
                <c:pt idx="113">
                  <c:v>0.25</c:v>
                </c:pt>
                <c:pt idx="114">
                  <c:v>0.27500000000000002</c:v>
                </c:pt>
                <c:pt idx="115">
                  <c:v>0.3</c:v>
                </c:pt>
                <c:pt idx="116">
                  <c:v>0.32500000000000001</c:v>
                </c:pt>
                <c:pt idx="117">
                  <c:v>0.35</c:v>
                </c:pt>
                <c:pt idx="118">
                  <c:v>0.375</c:v>
                </c:pt>
                <c:pt idx="119">
                  <c:v>0.4</c:v>
                </c:pt>
                <c:pt idx="120">
                  <c:v>0.42499999999999999</c:v>
                </c:pt>
                <c:pt idx="121">
                  <c:v>0.45</c:v>
                </c:pt>
                <c:pt idx="122">
                  <c:v>0.5</c:v>
                </c:pt>
                <c:pt idx="123">
                  <c:v>0.5625</c:v>
                </c:pt>
                <c:pt idx="124">
                  <c:v>0.625</c:v>
                </c:pt>
                <c:pt idx="125">
                  <c:v>0.6875</c:v>
                </c:pt>
                <c:pt idx="126">
                  <c:v>0.75</c:v>
                </c:pt>
                <c:pt idx="127">
                  <c:v>0.8125</c:v>
                </c:pt>
                <c:pt idx="128">
                  <c:v>0.875</c:v>
                </c:pt>
                <c:pt idx="129">
                  <c:v>0.9375</c:v>
                </c:pt>
                <c:pt idx="130" formatCode="0.000_ ">
                  <c:v>1</c:v>
                </c:pt>
                <c:pt idx="131" formatCode="0.000_ ">
                  <c:v>1.125</c:v>
                </c:pt>
                <c:pt idx="132" formatCode="0.000_ ">
                  <c:v>1.25</c:v>
                </c:pt>
                <c:pt idx="133" formatCode="0.000_ ">
                  <c:v>1.375</c:v>
                </c:pt>
                <c:pt idx="134" formatCode="0.000_ ">
                  <c:v>1.5</c:v>
                </c:pt>
                <c:pt idx="135" formatCode="0.000_ ">
                  <c:v>1.625</c:v>
                </c:pt>
                <c:pt idx="136" formatCode="0.000_ ">
                  <c:v>1.75</c:v>
                </c:pt>
                <c:pt idx="137" formatCode="0.000_ ">
                  <c:v>2</c:v>
                </c:pt>
                <c:pt idx="138" formatCode="0.000_ ">
                  <c:v>2.25</c:v>
                </c:pt>
                <c:pt idx="139" formatCode="0.000_ ">
                  <c:v>2.5</c:v>
                </c:pt>
                <c:pt idx="140" formatCode="0.000_ ">
                  <c:v>2.75</c:v>
                </c:pt>
                <c:pt idx="141" formatCode="0.000_ ">
                  <c:v>3</c:v>
                </c:pt>
                <c:pt idx="142" formatCode="0.000_ ">
                  <c:v>3.25</c:v>
                </c:pt>
                <c:pt idx="143" formatCode="0.000_ ">
                  <c:v>3.5</c:v>
                </c:pt>
                <c:pt idx="144" formatCode="0.000_ ">
                  <c:v>3.75</c:v>
                </c:pt>
                <c:pt idx="145" formatCode="0.000_ ">
                  <c:v>4</c:v>
                </c:pt>
                <c:pt idx="146" formatCode="0.000_ ">
                  <c:v>4.25</c:v>
                </c:pt>
                <c:pt idx="147" formatCode="0.000_ ">
                  <c:v>4.5</c:v>
                </c:pt>
                <c:pt idx="148" formatCode="0.000_ ">
                  <c:v>5</c:v>
                </c:pt>
                <c:pt idx="149" formatCode="0.000_ ">
                  <c:v>5.625</c:v>
                </c:pt>
                <c:pt idx="150" formatCode="0.000_ ">
                  <c:v>6.25</c:v>
                </c:pt>
                <c:pt idx="151" formatCode="0.000_ ">
                  <c:v>6.875</c:v>
                </c:pt>
                <c:pt idx="152" formatCode="0.000_ ">
                  <c:v>7.5</c:v>
                </c:pt>
                <c:pt idx="153" formatCode="0.000_ ">
                  <c:v>8.125</c:v>
                </c:pt>
                <c:pt idx="154" formatCode="0.000_ ">
                  <c:v>8.75</c:v>
                </c:pt>
                <c:pt idx="155" formatCode="0.000_ ">
                  <c:v>9.375</c:v>
                </c:pt>
                <c:pt idx="156" formatCode="0.000_ ">
                  <c:v>10</c:v>
                </c:pt>
                <c:pt idx="157" formatCode="0.000_ ">
                  <c:v>11.25</c:v>
                </c:pt>
                <c:pt idx="158" formatCode="0.000_ ">
                  <c:v>12.5</c:v>
                </c:pt>
                <c:pt idx="159" formatCode="0.000_ ">
                  <c:v>13.75</c:v>
                </c:pt>
                <c:pt idx="160" formatCode="0.000_ ">
                  <c:v>15</c:v>
                </c:pt>
                <c:pt idx="161" formatCode="0.000_ ">
                  <c:v>16.25</c:v>
                </c:pt>
                <c:pt idx="162" formatCode="0.000_ ">
                  <c:v>17.5</c:v>
                </c:pt>
                <c:pt idx="163" formatCode="0.000_ ">
                  <c:v>20</c:v>
                </c:pt>
                <c:pt idx="164" formatCode="0.000_ ">
                  <c:v>22.5</c:v>
                </c:pt>
                <c:pt idx="165" formatCode="0.000_ ">
                  <c:v>25</c:v>
                </c:pt>
                <c:pt idx="166" formatCode="0.000_ ">
                  <c:v>27.5</c:v>
                </c:pt>
                <c:pt idx="167" formatCode="0.000_ ">
                  <c:v>30</c:v>
                </c:pt>
                <c:pt idx="168" formatCode="0.000_ ">
                  <c:v>32.5</c:v>
                </c:pt>
                <c:pt idx="169" formatCode="0.000_ ">
                  <c:v>35</c:v>
                </c:pt>
                <c:pt idx="170" formatCode="0.000_ ">
                  <c:v>37.5</c:v>
                </c:pt>
                <c:pt idx="171" formatCode="0.000_ ">
                  <c:v>40</c:v>
                </c:pt>
                <c:pt idx="172" formatCode="0.000_ ">
                  <c:v>42.5</c:v>
                </c:pt>
                <c:pt idx="173" formatCode="0.000_ ">
                  <c:v>45</c:v>
                </c:pt>
                <c:pt idx="174" formatCode="0.000_ ">
                  <c:v>50</c:v>
                </c:pt>
                <c:pt idx="175" formatCode="0.000_ ">
                  <c:v>56.25</c:v>
                </c:pt>
                <c:pt idx="176" formatCode="0.000_ ">
                  <c:v>62.5</c:v>
                </c:pt>
                <c:pt idx="177" formatCode="0.000_ ">
                  <c:v>68.75</c:v>
                </c:pt>
                <c:pt idx="178" formatCode="0.000_ ">
                  <c:v>75</c:v>
                </c:pt>
                <c:pt idx="179" formatCode="0.000_ ">
                  <c:v>81.25</c:v>
                </c:pt>
                <c:pt idx="180" formatCode="0.000_ ">
                  <c:v>87.5</c:v>
                </c:pt>
                <c:pt idx="181" formatCode="0.000_ ">
                  <c:v>93.75</c:v>
                </c:pt>
                <c:pt idx="182" formatCode="0.00_ ">
                  <c:v>100</c:v>
                </c:pt>
                <c:pt idx="183" formatCode="0.00_ ">
                  <c:v>112.5</c:v>
                </c:pt>
                <c:pt idx="184" formatCode="0.00_ ">
                  <c:v>125</c:v>
                </c:pt>
                <c:pt idx="185" formatCode="0.00_ ">
                  <c:v>137.5</c:v>
                </c:pt>
                <c:pt idx="186" formatCode="0.00_ ">
                  <c:v>150</c:v>
                </c:pt>
                <c:pt idx="187" formatCode="0.00_ ">
                  <c:v>162.5</c:v>
                </c:pt>
                <c:pt idx="188" formatCode="0.00_ ">
                  <c:v>175</c:v>
                </c:pt>
                <c:pt idx="189" formatCode="0.00_ ">
                  <c:v>200</c:v>
                </c:pt>
                <c:pt idx="190" formatCode="0.00_ ">
                  <c:v>225</c:v>
                </c:pt>
                <c:pt idx="191" formatCode="0.00_ ">
                  <c:v>250</c:v>
                </c:pt>
                <c:pt idx="192" formatCode="0.00_ ">
                  <c:v>275</c:v>
                </c:pt>
                <c:pt idx="193" formatCode="0.00_ ">
                  <c:v>300</c:v>
                </c:pt>
                <c:pt idx="194" formatCode="0.00_ ">
                  <c:v>325</c:v>
                </c:pt>
                <c:pt idx="195" formatCode="0.00_ ">
                  <c:v>350</c:v>
                </c:pt>
                <c:pt idx="196" formatCode="0.00_ ">
                  <c:v>375</c:v>
                </c:pt>
                <c:pt idx="197" formatCode="0.00_ ">
                  <c:v>400</c:v>
                </c:pt>
                <c:pt idx="198" formatCode="0.00_ ">
                  <c:v>425</c:v>
                </c:pt>
                <c:pt idx="199" formatCode="0.00_ ">
                  <c:v>450</c:v>
                </c:pt>
                <c:pt idx="200" formatCode="0.00_ ">
                  <c:v>500</c:v>
                </c:pt>
                <c:pt idx="201" formatCode="0.00_ ">
                  <c:v>562.5</c:v>
                </c:pt>
                <c:pt idx="202" formatCode="0.00_ ">
                  <c:v>625</c:v>
                </c:pt>
                <c:pt idx="203" formatCode="0.00_ ">
                  <c:v>687.5</c:v>
                </c:pt>
                <c:pt idx="204" formatCode="0.00_ ">
                  <c:v>750</c:v>
                </c:pt>
                <c:pt idx="205" formatCode="0.00_ ">
                  <c:v>812.5</c:v>
                </c:pt>
                <c:pt idx="206" formatCode="0.00_ ">
                  <c:v>875</c:v>
                </c:pt>
                <c:pt idx="207" formatCode="0.00_ ">
                  <c:v>937.5</c:v>
                </c:pt>
                <c:pt idx="208" formatCode="0.00_ ">
                  <c:v>1000</c:v>
                </c:pt>
              </c:numCache>
            </c:numRef>
          </c:xVal>
          <c:yVal>
            <c:numRef>
              <c:f>'dbg30'!$T$11:$T$219</c:f>
              <c:numCache>
                <c:formatCode>0.000_ </c:formatCode>
                <c:ptCount val="20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1.2303384615384616</c:v>
                </c:pt>
                <c:pt idx="133">
                  <c:v>1.3255009276437848</c:v>
                </c:pt>
                <c:pt idx="134">
                  <c:v>1.4141931818181819</c:v>
                </c:pt>
                <c:pt idx="135">
                  <c:v>1.4944444444444445</c:v>
                </c:pt>
                <c:pt idx="136">
                  <c:v>1.5633333333333332</c:v>
                </c:pt>
                <c:pt idx="137">
                  <c:v>1.6675</c:v>
                </c:pt>
                <c:pt idx="138">
                  <c:v>1.7232142857142856</c:v>
                </c:pt>
                <c:pt idx="139">
                  <c:v>1.7434210526315788</c:v>
                </c:pt>
                <c:pt idx="140">
                  <c:v>1.7395833333333333</c:v>
                </c:pt>
                <c:pt idx="141">
                  <c:v>1.7321428571428568</c:v>
                </c:pt>
                <c:pt idx="142">
                  <c:v>1.7107142857142856</c:v>
                </c:pt>
                <c:pt idx="143">
                  <c:v>1.6866197183098592</c:v>
                </c:pt>
                <c:pt idx="144">
                  <c:v>1.6631944444444446</c:v>
                </c:pt>
                <c:pt idx="145">
                  <c:v>1.6404109589041096</c:v>
                </c:pt>
                <c:pt idx="146">
                  <c:v>1.6148648648648649</c:v>
                </c:pt>
                <c:pt idx="147">
                  <c:v>1.5912162162162167</c:v>
                </c:pt>
                <c:pt idx="148">
                  <c:v>1.5448717948717952</c:v>
                </c:pt>
                <c:pt idx="149">
                  <c:v>1.492283950617284</c:v>
                </c:pt>
                <c:pt idx="150">
                  <c:v>1.4446107784431135</c:v>
                </c:pt>
                <c:pt idx="151">
                  <c:v>1.4018691588785046</c:v>
                </c:pt>
                <c:pt idx="152">
                  <c:v>1.3602941176470589</c:v>
                </c:pt>
                <c:pt idx="153">
                  <c:v>1.3243392070484576</c:v>
                </c:pt>
                <c:pt idx="154">
                  <c:v>1.2900641025641022</c:v>
                </c:pt>
                <c:pt idx="155">
                  <c:v>1.2552301255230116</c:v>
                </c:pt>
                <c:pt idx="156">
                  <c:v>1.225198412698413</c:v>
                </c:pt>
                <c:pt idx="157">
                  <c:v>1.1682242990654199</c:v>
                </c:pt>
                <c:pt idx="158">
                  <c:v>1.1140819964349369</c:v>
                </c:pt>
                <c:pt idx="159">
                  <c:v>1.0629251700680271</c:v>
                </c:pt>
                <c:pt idx="160">
                  <c:v>1.0179153094462539</c:v>
                </c:pt>
                <c:pt idx="161">
                  <c:v>0.97503900156006296</c:v>
                </c:pt>
                <c:pt idx="162">
                  <c:v>0.93283582089552297</c:v>
                </c:pt>
                <c:pt idx="163">
                  <c:v>0.87842586085734453</c:v>
                </c:pt>
                <c:pt idx="164">
                  <c:v>0.81433224755700451</c:v>
                </c:pt>
                <c:pt idx="165">
                  <c:v>0.76080340839926919</c:v>
                </c:pt>
                <c:pt idx="166">
                  <c:v>0.715922107674686</c:v>
                </c:pt>
                <c:pt idx="167">
                  <c:v>0.68045726728361444</c:v>
                </c:pt>
                <c:pt idx="168">
                  <c:v>0.64834024896265419</c:v>
                </c:pt>
                <c:pt idx="169">
                  <c:v>0.61728395061728492</c:v>
                </c:pt>
                <c:pt idx="170">
                  <c:v>0.58934464875058978</c:v>
                </c:pt>
                <c:pt idx="171">
                  <c:v>0.56433408577878197</c:v>
                </c:pt>
                <c:pt idx="172">
                  <c:v>0.54182921543129936</c:v>
                </c:pt>
                <c:pt idx="173">
                  <c:v>0.52148518982060921</c:v>
                </c:pt>
                <c:pt idx="174">
                  <c:v>0.49348598499802421</c:v>
                </c:pt>
                <c:pt idx="175">
                  <c:v>0.45687134502924209</c:v>
                </c:pt>
                <c:pt idx="176">
                  <c:v>0.42241146255744866</c:v>
                </c:pt>
                <c:pt idx="177">
                  <c:v>0.39372558901348498</c:v>
                </c:pt>
                <c:pt idx="178">
                  <c:v>0.36938534278959878</c:v>
                </c:pt>
                <c:pt idx="179">
                  <c:v>0.34846119536128128</c:v>
                </c:pt>
                <c:pt idx="180">
                  <c:v>0.33030335059719107</c:v>
                </c:pt>
                <c:pt idx="181">
                  <c:v>0.31435469268684813</c:v>
                </c:pt>
                <c:pt idx="182">
                  <c:v>0.29531279531279608</c:v>
                </c:pt>
                <c:pt idx="183">
                  <c:v>0.28409090909090651</c:v>
                </c:pt>
                <c:pt idx="184">
                  <c:v>0.2604166666666714</c:v>
                </c:pt>
                <c:pt idx="185">
                  <c:v>0.25</c:v>
                </c:pt>
                <c:pt idx="186">
                  <c:v>0.22321428571427759</c:v>
                </c:pt>
                <c:pt idx="187">
                  <c:v>0.22321428571427759</c:v>
                </c:pt>
                <c:pt idx="188">
                  <c:v>0.20833333333334281</c:v>
                </c:pt>
                <c:pt idx="189">
                  <c:v>0.1953125</c:v>
                </c:pt>
                <c:pt idx="190">
                  <c:v>0.18115942028984477</c:v>
                </c:pt>
                <c:pt idx="191">
                  <c:v>0.16891891891890509</c:v>
                </c:pt>
                <c:pt idx="192">
                  <c:v>0.1602564102564088</c:v>
                </c:pt>
                <c:pt idx="193">
                  <c:v>0.15060240963856586</c:v>
                </c:pt>
                <c:pt idx="194">
                  <c:v>0.1470588235293917</c:v>
                </c:pt>
                <c:pt idx="195">
                  <c:v>0.14044943820226763</c:v>
                </c:pt>
                <c:pt idx="196">
                  <c:v>0.13440860215052908</c:v>
                </c:pt>
                <c:pt idx="197">
                  <c:v>0.131578947368439</c:v>
                </c:pt>
                <c:pt idx="198">
                  <c:v>0.12755102040819111</c:v>
                </c:pt>
                <c:pt idx="199">
                  <c:v>0.125</c:v>
                </c:pt>
                <c:pt idx="200">
                  <c:v>0.12019230769232081</c:v>
                </c:pt>
                <c:pt idx="201">
                  <c:v>0.1148897058823195</c:v>
                </c:pt>
                <c:pt idx="202">
                  <c:v>0.11081560283685121</c:v>
                </c:pt>
                <c:pt idx="203">
                  <c:v>0.10702054794523974</c:v>
                </c:pt>
                <c:pt idx="204">
                  <c:v>0.10416666666662877</c:v>
                </c:pt>
                <c:pt idx="205">
                  <c:v>0.10212418300648096</c:v>
                </c:pt>
                <c:pt idx="206">
                  <c:v>9.9840255591061577E-2</c:v>
                </c:pt>
                <c:pt idx="207">
                  <c:v>9.8580441640365279E-2</c:v>
                </c:pt>
                <c:pt idx="208">
                  <c:v>9.7049689440950715E-2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995-4BE7-A1D1-58C3354EF0C6}"/>
            </c:ext>
          </c:extLst>
        </c:ser>
        <c:ser>
          <c:idx val="1"/>
          <c:order val="1"/>
          <c:tx>
            <c:v>ws1 dEu1 stop</c:v>
          </c:tx>
          <c:spPr>
            <a:ln w="12700">
              <a:solidFill>
                <a:srgbClr val="CC66FF"/>
              </a:solidFill>
            </a:ln>
          </c:spPr>
          <c:marker>
            <c:symbol val="circle"/>
            <c:size val="2"/>
            <c:spPr>
              <a:solidFill>
                <a:srgbClr val="CC66FF"/>
              </a:solidFill>
              <a:ln>
                <a:noFill/>
              </a:ln>
            </c:spPr>
          </c:marker>
          <c:xVal>
            <c:numRef>
              <c:f>'dbg30'!$P$11:$P$219</c:f>
              <c:numCache>
                <c:formatCode>0.00000_ </c:formatCode>
                <c:ptCount val="209"/>
                <c:pt idx="0">
                  <c:v>9.9999750000000008E-6</c:v>
                </c:pt>
                <c:pt idx="1">
                  <c:v>1.1249975000000001E-5</c:v>
                </c:pt>
                <c:pt idx="2">
                  <c:v>1.2499975000000001E-5</c:v>
                </c:pt>
                <c:pt idx="3">
                  <c:v>1.3749975E-5</c:v>
                </c:pt>
                <c:pt idx="4">
                  <c:v>1.4999975E-5</c:v>
                </c:pt>
                <c:pt idx="5">
                  <c:v>1.6249975E-5</c:v>
                </c:pt>
                <c:pt idx="6">
                  <c:v>1.7499975E-5</c:v>
                </c:pt>
                <c:pt idx="7">
                  <c:v>1.9999975E-5</c:v>
                </c:pt>
                <c:pt idx="8">
                  <c:v>2.2499975000000003E-5</c:v>
                </c:pt>
                <c:pt idx="9">
                  <c:v>2.4999975000000003E-5</c:v>
                </c:pt>
                <c:pt idx="10">
                  <c:v>2.7500000000000001E-5</c:v>
                </c:pt>
                <c:pt idx="11">
                  <c:v>2.9999999999999997E-5</c:v>
                </c:pt>
                <c:pt idx="12">
                  <c:v>3.2499999999999997E-5</c:v>
                </c:pt>
                <c:pt idx="13">
                  <c:v>3.4999999999999997E-5</c:v>
                </c:pt>
                <c:pt idx="14">
                  <c:v>3.7500000000000003E-5</c:v>
                </c:pt>
                <c:pt idx="15">
                  <c:v>4.0000000000000003E-5</c:v>
                </c:pt>
                <c:pt idx="16">
                  <c:v>4.2499999999999996E-5</c:v>
                </c:pt>
                <c:pt idx="17">
                  <c:v>4.4999999999999996E-5</c:v>
                </c:pt>
                <c:pt idx="18">
                  <c:v>5.0000000000000002E-5</c:v>
                </c:pt>
                <c:pt idx="19">
                  <c:v>5.6249999999999998E-5</c:v>
                </c:pt>
                <c:pt idx="20">
                  <c:v>6.2500000000000001E-5</c:v>
                </c:pt>
                <c:pt idx="21">
                  <c:v>6.8749999999999991E-5</c:v>
                </c:pt>
                <c:pt idx="22">
                  <c:v>7.5000000000000007E-5</c:v>
                </c:pt>
                <c:pt idx="23">
                  <c:v>8.1249999999999996E-5</c:v>
                </c:pt>
                <c:pt idx="24">
                  <c:v>8.7499999999999999E-5</c:v>
                </c:pt>
                <c:pt idx="25">
                  <c:v>9.3750000000000002E-5</c:v>
                </c:pt>
                <c:pt idx="26">
                  <c:v>1E-4</c:v>
                </c:pt>
                <c:pt idx="27">
                  <c:v>1.125E-4</c:v>
                </c:pt>
                <c:pt idx="28">
                  <c:v>1.25E-4</c:v>
                </c:pt>
                <c:pt idx="29">
                  <c:v>1.3749999999999998E-4</c:v>
                </c:pt>
                <c:pt idx="30">
                  <c:v>1.5000000000000001E-4</c:v>
                </c:pt>
                <c:pt idx="31">
                  <c:v>1.6249999999999999E-4</c:v>
                </c:pt>
                <c:pt idx="32">
                  <c:v>1.75E-4</c:v>
                </c:pt>
                <c:pt idx="33">
                  <c:v>2.0000000000000001E-4</c:v>
                </c:pt>
                <c:pt idx="34">
                  <c:v>2.2499999999999999E-4</c:v>
                </c:pt>
                <c:pt idx="35">
                  <c:v>2.5000000000000001E-4</c:v>
                </c:pt>
                <c:pt idx="36">
                  <c:v>2.7499999999999996E-4</c:v>
                </c:pt>
                <c:pt idx="37">
                  <c:v>3.0000000000000003E-4</c:v>
                </c:pt>
                <c:pt idx="38">
                  <c:v>3.2499999999999999E-4</c:v>
                </c:pt>
                <c:pt idx="39">
                  <c:v>3.5E-4</c:v>
                </c:pt>
                <c:pt idx="40">
                  <c:v>3.7500000000000001E-4</c:v>
                </c:pt>
                <c:pt idx="41">
                  <c:v>4.0000000000000002E-4</c:v>
                </c:pt>
                <c:pt idx="42">
                  <c:v>4.2500000000000003E-4</c:v>
                </c:pt>
                <c:pt idx="43">
                  <c:v>4.4999999999999999E-4</c:v>
                </c:pt>
                <c:pt idx="44">
                  <c:v>5.0000000000000001E-4</c:v>
                </c:pt>
                <c:pt idx="45">
                  <c:v>5.6249999999999996E-4</c:v>
                </c:pt>
                <c:pt idx="46">
                  <c:v>6.2500000000000001E-4</c:v>
                </c:pt>
                <c:pt idx="47">
                  <c:v>6.8749999999999996E-4</c:v>
                </c:pt>
                <c:pt idx="48">
                  <c:v>7.5000000000000002E-4</c:v>
                </c:pt>
                <c:pt idx="49">
                  <c:v>8.1250000000000007E-4</c:v>
                </c:pt>
                <c:pt idx="50">
                  <c:v>8.7500000000000013E-4</c:v>
                </c:pt>
                <c:pt idx="51">
                  <c:v>9.3749999999999997E-4</c:v>
                </c:pt>
                <c:pt idx="52">
                  <c:v>1E-3</c:v>
                </c:pt>
                <c:pt idx="53">
                  <c:v>1.1249999999999999E-3</c:v>
                </c:pt>
                <c:pt idx="54">
                  <c:v>1.25E-3</c:v>
                </c:pt>
                <c:pt idx="55">
                  <c:v>1.3749999999999999E-3</c:v>
                </c:pt>
                <c:pt idx="56">
                  <c:v>1.5E-3</c:v>
                </c:pt>
                <c:pt idx="57">
                  <c:v>1.6250000000000001E-3</c:v>
                </c:pt>
                <c:pt idx="58">
                  <c:v>1.7500000000000003E-3</c:v>
                </c:pt>
                <c:pt idx="59">
                  <c:v>2E-3</c:v>
                </c:pt>
                <c:pt idx="60">
                  <c:v>2.2499999999999998E-3</c:v>
                </c:pt>
                <c:pt idx="61">
                  <c:v>2.5000000000000001E-3</c:v>
                </c:pt>
                <c:pt idx="62">
                  <c:v>2.7499999999999998E-3</c:v>
                </c:pt>
                <c:pt idx="63">
                  <c:v>3.0000000000000001E-3</c:v>
                </c:pt>
                <c:pt idx="64">
                  <c:v>3.2500000000000003E-3</c:v>
                </c:pt>
                <c:pt idx="65">
                  <c:v>3.5000000000000005E-3</c:v>
                </c:pt>
                <c:pt idx="66">
                  <c:v>3.7499999999999999E-3</c:v>
                </c:pt>
                <c:pt idx="67">
                  <c:v>4.0000000000000001E-3</c:v>
                </c:pt>
                <c:pt idx="68">
                  <c:v>4.2500000000000003E-3</c:v>
                </c:pt>
                <c:pt idx="69">
                  <c:v>4.4999999999999997E-3</c:v>
                </c:pt>
                <c:pt idx="70">
                  <c:v>5.0000000000000001E-3</c:v>
                </c:pt>
                <c:pt idx="71">
                  <c:v>5.6249999999999998E-3</c:v>
                </c:pt>
                <c:pt idx="72">
                  <c:v>6.2500000000000003E-3</c:v>
                </c:pt>
                <c:pt idx="73">
                  <c:v>6.8750000000000009E-3</c:v>
                </c:pt>
                <c:pt idx="74">
                  <c:v>7.4999999999999997E-3</c:v>
                </c:pt>
                <c:pt idx="75">
                  <c:v>8.1250000000000003E-3</c:v>
                </c:pt>
                <c:pt idx="76">
                  <c:v>8.7499999999999991E-3</c:v>
                </c:pt>
                <c:pt idx="77">
                  <c:v>9.3749999999999997E-3</c:v>
                </c:pt>
                <c:pt idx="78">
                  <c:v>0.01</c:v>
                </c:pt>
                <c:pt idx="79">
                  <c:v>1.125E-2</c:v>
                </c:pt>
                <c:pt idx="80">
                  <c:v>1.2500000000000001E-2</c:v>
                </c:pt>
                <c:pt idx="81">
                  <c:v>1.3750000000000002E-2</c:v>
                </c:pt>
                <c:pt idx="82">
                  <c:v>1.4999999999999999E-2</c:v>
                </c:pt>
                <c:pt idx="83">
                  <c:v>1.6250000000000001E-2</c:v>
                </c:pt>
                <c:pt idx="84">
                  <c:v>1.7499999999999998E-2</c:v>
                </c:pt>
                <c:pt idx="85">
                  <c:v>0.02</c:v>
                </c:pt>
                <c:pt idx="86">
                  <c:v>2.2499999999999999E-2</c:v>
                </c:pt>
                <c:pt idx="87">
                  <c:v>2.5000000000000001E-2</c:v>
                </c:pt>
                <c:pt idx="88">
                  <c:v>2.7500000000000004E-2</c:v>
                </c:pt>
                <c:pt idx="89">
                  <c:v>0.03</c:v>
                </c:pt>
                <c:pt idx="90">
                  <c:v>3.2500000000000001E-2</c:v>
                </c:pt>
                <c:pt idx="91">
                  <c:v>3.4999999999999996E-2</c:v>
                </c:pt>
                <c:pt idx="92">
                  <c:v>3.7499999999999999E-2</c:v>
                </c:pt>
                <c:pt idx="93">
                  <c:v>0.04</c:v>
                </c:pt>
                <c:pt idx="94">
                  <c:v>4.2499999999999996E-2</c:v>
                </c:pt>
                <c:pt idx="95">
                  <c:v>4.4999999999999998E-2</c:v>
                </c:pt>
                <c:pt idx="96">
                  <c:v>0.05</c:v>
                </c:pt>
                <c:pt idx="97">
                  <c:v>5.6250000000000001E-2</c:v>
                </c:pt>
                <c:pt idx="98">
                  <c:v>6.25E-2</c:v>
                </c:pt>
                <c:pt idx="99">
                  <c:v>6.8750000000000006E-2</c:v>
                </c:pt>
                <c:pt idx="100">
                  <c:v>7.4999999999999997E-2</c:v>
                </c:pt>
                <c:pt idx="101">
                  <c:v>8.1250000000000003E-2</c:v>
                </c:pt>
                <c:pt idx="102">
                  <c:v>8.7499999999999994E-2</c:v>
                </c:pt>
                <c:pt idx="103">
                  <c:v>9.375E-2</c:v>
                </c:pt>
                <c:pt idx="104">
                  <c:v>0.1</c:v>
                </c:pt>
                <c:pt idx="105">
                  <c:v>0.1125</c:v>
                </c:pt>
                <c:pt idx="106">
                  <c:v>0.125</c:v>
                </c:pt>
                <c:pt idx="107">
                  <c:v>0.13750000000000001</c:v>
                </c:pt>
                <c:pt idx="108">
                  <c:v>0.15</c:v>
                </c:pt>
                <c:pt idx="109">
                  <c:v>0.16250000000000001</c:v>
                </c:pt>
                <c:pt idx="110">
                  <c:v>0.17499999999999999</c:v>
                </c:pt>
                <c:pt idx="111">
                  <c:v>0.2</c:v>
                </c:pt>
                <c:pt idx="112">
                  <c:v>0.22500000000000001</c:v>
                </c:pt>
                <c:pt idx="113">
                  <c:v>0.25</c:v>
                </c:pt>
                <c:pt idx="114">
                  <c:v>0.27500000000000002</c:v>
                </c:pt>
                <c:pt idx="115">
                  <c:v>0.3</c:v>
                </c:pt>
                <c:pt idx="116">
                  <c:v>0.32500000000000001</c:v>
                </c:pt>
                <c:pt idx="117">
                  <c:v>0.35</c:v>
                </c:pt>
                <c:pt idx="118">
                  <c:v>0.375</c:v>
                </c:pt>
                <c:pt idx="119">
                  <c:v>0.4</c:v>
                </c:pt>
                <c:pt idx="120">
                  <c:v>0.42499999999999999</c:v>
                </c:pt>
                <c:pt idx="121">
                  <c:v>0.45</c:v>
                </c:pt>
                <c:pt idx="122">
                  <c:v>0.5</c:v>
                </c:pt>
                <c:pt idx="123">
                  <c:v>0.5625</c:v>
                </c:pt>
                <c:pt idx="124">
                  <c:v>0.625</c:v>
                </c:pt>
                <c:pt idx="125">
                  <c:v>0.6875</c:v>
                </c:pt>
                <c:pt idx="126">
                  <c:v>0.75</c:v>
                </c:pt>
                <c:pt idx="127">
                  <c:v>0.8125</c:v>
                </c:pt>
                <c:pt idx="128">
                  <c:v>0.875</c:v>
                </c:pt>
                <c:pt idx="129">
                  <c:v>0.9375</c:v>
                </c:pt>
                <c:pt idx="130" formatCode="0.000_ ">
                  <c:v>1</c:v>
                </c:pt>
                <c:pt idx="131" formatCode="0.000_ ">
                  <c:v>1.125</c:v>
                </c:pt>
                <c:pt idx="132" formatCode="0.000_ ">
                  <c:v>1.25</c:v>
                </c:pt>
                <c:pt idx="133" formatCode="0.000_ ">
                  <c:v>1.375</c:v>
                </c:pt>
                <c:pt idx="134" formatCode="0.000_ ">
                  <c:v>1.5</c:v>
                </c:pt>
                <c:pt idx="135" formatCode="0.000_ ">
                  <c:v>1.625</c:v>
                </c:pt>
                <c:pt idx="136" formatCode="0.000_ ">
                  <c:v>1.75</c:v>
                </c:pt>
                <c:pt idx="137" formatCode="0.000_ ">
                  <c:v>2</c:v>
                </c:pt>
                <c:pt idx="138" formatCode="0.000_ ">
                  <c:v>2.25</c:v>
                </c:pt>
                <c:pt idx="139" formatCode="0.000_ ">
                  <c:v>2.5</c:v>
                </c:pt>
                <c:pt idx="140" formatCode="0.000_ ">
                  <c:v>2.75</c:v>
                </c:pt>
                <c:pt idx="141" formatCode="0.000_ ">
                  <c:v>3</c:v>
                </c:pt>
                <c:pt idx="142" formatCode="0.000_ ">
                  <c:v>3.25</c:v>
                </c:pt>
                <c:pt idx="143" formatCode="0.000_ ">
                  <c:v>3.5</c:v>
                </c:pt>
                <c:pt idx="144" formatCode="0.000_ ">
                  <c:v>3.75</c:v>
                </c:pt>
                <c:pt idx="145" formatCode="0.000_ ">
                  <c:v>4</c:v>
                </c:pt>
                <c:pt idx="146" formatCode="0.000_ ">
                  <c:v>4.25</c:v>
                </c:pt>
                <c:pt idx="147" formatCode="0.000_ ">
                  <c:v>4.5</c:v>
                </c:pt>
                <c:pt idx="148" formatCode="0.000_ ">
                  <c:v>5</c:v>
                </c:pt>
                <c:pt idx="149" formatCode="0.000_ ">
                  <c:v>5.625</c:v>
                </c:pt>
                <c:pt idx="150" formatCode="0.000_ ">
                  <c:v>6.25</c:v>
                </c:pt>
                <c:pt idx="151" formatCode="0.000_ ">
                  <c:v>6.875</c:v>
                </c:pt>
                <c:pt idx="152" formatCode="0.000_ ">
                  <c:v>7.5</c:v>
                </c:pt>
                <c:pt idx="153" formatCode="0.000_ ">
                  <c:v>8.125</c:v>
                </c:pt>
                <c:pt idx="154" formatCode="0.000_ ">
                  <c:v>8.75</c:v>
                </c:pt>
                <c:pt idx="155" formatCode="0.000_ ">
                  <c:v>9.375</c:v>
                </c:pt>
                <c:pt idx="156" formatCode="0.000_ ">
                  <c:v>10</c:v>
                </c:pt>
                <c:pt idx="157" formatCode="0.000_ ">
                  <c:v>11.25</c:v>
                </c:pt>
                <c:pt idx="158" formatCode="0.000_ ">
                  <c:v>12.5</c:v>
                </c:pt>
                <c:pt idx="159" formatCode="0.000_ ">
                  <c:v>13.75</c:v>
                </c:pt>
                <c:pt idx="160" formatCode="0.000_ ">
                  <c:v>15</c:v>
                </c:pt>
                <c:pt idx="161" formatCode="0.000_ ">
                  <c:v>16.25</c:v>
                </c:pt>
                <c:pt idx="162" formatCode="0.000_ ">
                  <c:v>17.5</c:v>
                </c:pt>
                <c:pt idx="163" formatCode="0.000_ ">
                  <c:v>20</c:v>
                </c:pt>
                <c:pt idx="164" formatCode="0.000_ ">
                  <c:v>22.5</c:v>
                </c:pt>
                <c:pt idx="165" formatCode="0.000_ ">
                  <c:v>25</c:v>
                </c:pt>
                <c:pt idx="166" formatCode="0.000_ ">
                  <c:v>27.5</c:v>
                </c:pt>
                <c:pt idx="167" formatCode="0.000_ ">
                  <c:v>30</c:v>
                </c:pt>
                <c:pt idx="168" formatCode="0.000_ ">
                  <c:v>32.5</c:v>
                </c:pt>
                <c:pt idx="169" formatCode="0.000_ ">
                  <c:v>35</c:v>
                </c:pt>
                <c:pt idx="170" formatCode="0.000_ ">
                  <c:v>37.5</c:v>
                </c:pt>
                <c:pt idx="171" formatCode="0.000_ ">
                  <c:v>40</c:v>
                </c:pt>
                <c:pt idx="172" formatCode="0.000_ ">
                  <c:v>42.5</c:v>
                </c:pt>
                <c:pt idx="173" formatCode="0.000_ ">
                  <c:v>45</c:v>
                </c:pt>
                <c:pt idx="174" formatCode="0.000_ ">
                  <c:v>50</c:v>
                </c:pt>
                <c:pt idx="175" formatCode="0.000_ ">
                  <c:v>56.25</c:v>
                </c:pt>
                <c:pt idx="176" formatCode="0.000_ ">
                  <c:v>62.5</c:v>
                </c:pt>
                <c:pt idx="177" formatCode="0.000_ ">
                  <c:v>68.75</c:v>
                </c:pt>
                <c:pt idx="178" formatCode="0.000_ ">
                  <c:v>75</c:v>
                </c:pt>
                <c:pt idx="179" formatCode="0.000_ ">
                  <c:v>81.25</c:v>
                </c:pt>
                <c:pt idx="180" formatCode="0.000_ ">
                  <c:v>87.5</c:v>
                </c:pt>
                <c:pt idx="181" formatCode="0.000_ ">
                  <c:v>93.75</c:v>
                </c:pt>
                <c:pt idx="182" formatCode="0.00_ ">
                  <c:v>100</c:v>
                </c:pt>
                <c:pt idx="183" formatCode="0.00_ ">
                  <c:v>112.5</c:v>
                </c:pt>
                <c:pt idx="184" formatCode="0.00_ ">
                  <c:v>125</c:v>
                </c:pt>
                <c:pt idx="185" formatCode="0.00_ ">
                  <c:v>137.5</c:v>
                </c:pt>
                <c:pt idx="186" formatCode="0.00_ ">
                  <c:v>150</c:v>
                </c:pt>
                <c:pt idx="187" formatCode="0.00_ ">
                  <c:v>162.5</c:v>
                </c:pt>
                <c:pt idx="188" formatCode="0.00_ ">
                  <c:v>175</c:v>
                </c:pt>
                <c:pt idx="189" formatCode="0.00_ ">
                  <c:v>200</c:v>
                </c:pt>
                <c:pt idx="190" formatCode="0.00_ ">
                  <c:v>225</c:v>
                </c:pt>
                <c:pt idx="191" formatCode="0.00_ ">
                  <c:v>250</c:v>
                </c:pt>
                <c:pt idx="192" formatCode="0.00_ ">
                  <c:v>275</c:v>
                </c:pt>
                <c:pt idx="193" formatCode="0.00_ ">
                  <c:v>300</c:v>
                </c:pt>
                <c:pt idx="194" formatCode="0.00_ ">
                  <c:v>325</c:v>
                </c:pt>
                <c:pt idx="195" formatCode="0.00_ ">
                  <c:v>350</c:v>
                </c:pt>
                <c:pt idx="196" formatCode="0.00_ ">
                  <c:v>375</c:v>
                </c:pt>
                <c:pt idx="197" formatCode="0.00_ ">
                  <c:v>400</c:v>
                </c:pt>
                <c:pt idx="198" formatCode="0.00_ ">
                  <c:v>425</c:v>
                </c:pt>
                <c:pt idx="199" formatCode="0.00_ ">
                  <c:v>450</c:v>
                </c:pt>
                <c:pt idx="200" formatCode="0.00_ ">
                  <c:v>500</c:v>
                </c:pt>
                <c:pt idx="201" formatCode="0.00_ ">
                  <c:v>562.5</c:v>
                </c:pt>
                <c:pt idx="202" formatCode="0.00_ ">
                  <c:v>625</c:v>
                </c:pt>
                <c:pt idx="203" formatCode="0.00_ ">
                  <c:v>687.5</c:v>
                </c:pt>
                <c:pt idx="204" formatCode="0.00_ ">
                  <c:v>750</c:v>
                </c:pt>
                <c:pt idx="205" formatCode="0.00_ ">
                  <c:v>812.5</c:v>
                </c:pt>
                <c:pt idx="206" formatCode="0.00_ ">
                  <c:v>875</c:v>
                </c:pt>
                <c:pt idx="207" formatCode="0.00_ ">
                  <c:v>937.5</c:v>
                </c:pt>
                <c:pt idx="208" formatCode="0.00_ ">
                  <c:v>1000</c:v>
                </c:pt>
              </c:numCache>
            </c:numRef>
          </c:xVal>
          <c:yVal>
            <c:numRef>
              <c:f>'dbg30'!$U$11:$U$219</c:f>
              <c:numCache>
                <c:formatCode>0.000_ </c:formatCode>
                <c:ptCount val="209"/>
                <c:pt idx="0">
                  <c:v>9.9999750000000008E-6</c:v>
                </c:pt>
                <c:pt idx="1">
                  <c:v>1.1249975000000001E-5</c:v>
                </c:pt>
                <c:pt idx="2">
                  <c:v>1.2499975000000001E-5</c:v>
                </c:pt>
                <c:pt idx="3">
                  <c:v>1.3749975E-5</c:v>
                </c:pt>
                <c:pt idx="4">
                  <c:v>1.4999975E-5</c:v>
                </c:pt>
                <c:pt idx="5">
                  <c:v>1.6249975E-5</c:v>
                </c:pt>
                <c:pt idx="6">
                  <c:v>1.7499975E-5</c:v>
                </c:pt>
                <c:pt idx="7">
                  <c:v>1.9999975E-5</c:v>
                </c:pt>
                <c:pt idx="8">
                  <c:v>2.2499975000000003E-5</c:v>
                </c:pt>
                <c:pt idx="9">
                  <c:v>2.4999975000000003E-5</c:v>
                </c:pt>
                <c:pt idx="10">
                  <c:v>2.7500000000000001E-5</c:v>
                </c:pt>
                <c:pt idx="11">
                  <c:v>2.9999999999999997E-5</c:v>
                </c:pt>
                <c:pt idx="12">
                  <c:v>3.2499999999999997E-5</c:v>
                </c:pt>
                <c:pt idx="13">
                  <c:v>3.4999999999999997E-5</c:v>
                </c:pt>
                <c:pt idx="14">
                  <c:v>3.7500000000000003E-5</c:v>
                </c:pt>
                <c:pt idx="15">
                  <c:v>4.0000000000000003E-5</c:v>
                </c:pt>
                <c:pt idx="16">
                  <c:v>4.2499999999999996E-5</c:v>
                </c:pt>
                <c:pt idx="17">
                  <c:v>4.4999999999999996E-5</c:v>
                </c:pt>
                <c:pt idx="18">
                  <c:v>5.0000000000000002E-5</c:v>
                </c:pt>
                <c:pt idx="19">
                  <c:v>5.6249999999999998E-5</c:v>
                </c:pt>
                <c:pt idx="20">
                  <c:v>6.2500000000000001E-5</c:v>
                </c:pt>
                <c:pt idx="21">
                  <c:v>6.8749999999999991E-5</c:v>
                </c:pt>
                <c:pt idx="22">
                  <c:v>7.5000000000000007E-5</c:v>
                </c:pt>
                <c:pt idx="23">
                  <c:v>8.1249999999999996E-5</c:v>
                </c:pt>
                <c:pt idx="24">
                  <c:v>8.7499999999999999E-5</c:v>
                </c:pt>
                <c:pt idx="25">
                  <c:v>9.3750000000000002E-5</c:v>
                </c:pt>
                <c:pt idx="26">
                  <c:v>1E-4</c:v>
                </c:pt>
                <c:pt idx="27">
                  <c:v>1.125E-4</c:v>
                </c:pt>
                <c:pt idx="28">
                  <c:v>1.25E-4</c:v>
                </c:pt>
                <c:pt idx="29">
                  <c:v>1.3749999999999998E-4</c:v>
                </c:pt>
                <c:pt idx="30">
                  <c:v>1.5000000000000001E-4</c:v>
                </c:pt>
                <c:pt idx="31">
                  <c:v>1.6249999999999999E-4</c:v>
                </c:pt>
                <c:pt idx="32">
                  <c:v>1.75E-4</c:v>
                </c:pt>
                <c:pt idx="33">
                  <c:v>2.0000000000000001E-4</c:v>
                </c:pt>
                <c:pt idx="34">
                  <c:v>2.2499999999999999E-4</c:v>
                </c:pt>
                <c:pt idx="35">
                  <c:v>2.5000000000000001E-4</c:v>
                </c:pt>
                <c:pt idx="36">
                  <c:v>2.7499999999999996E-4</c:v>
                </c:pt>
                <c:pt idx="37">
                  <c:v>3.0000000000000003E-4</c:v>
                </c:pt>
                <c:pt idx="38">
                  <c:v>3.2499999999999999E-4</c:v>
                </c:pt>
                <c:pt idx="39">
                  <c:v>3.5E-4</c:v>
                </c:pt>
                <c:pt idx="40">
                  <c:v>3.7500000000000001E-4</c:v>
                </c:pt>
                <c:pt idx="41">
                  <c:v>4.0000000000000002E-4</c:v>
                </c:pt>
                <c:pt idx="42">
                  <c:v>4.2500000000000003E-4</c:v>
                </c:pt>
                <c:pt idx="43">
                  <c:v>4.4999999999999999E-4</c:v>
                </c:pt>
                <c:pt idx="44">
                  <c:v>5.0000000000000001E-4</c:v>
                </c:pt>
                <c:pt idx="45">
                  <c:v>5.6249999999999996E-4</c:v>
                </c:pt>
                <c:pt idx="46">
                  <c:v>6.2500000000000001E-4</c:v>
                </c:pt>
                <c:pt idx="47">
                  <c:v>6.8749999999999996E-4</c:v>
                </c:pt>
                <c:pt idx="48">
                  <c:v>7.5000000000000002E-4</c:v>
                </c:pt>
                <c:pt idx="49">
                  <c:v>8.1250000000000007E-4</c:v>
                </c:pt>
                <c:pt idx="50">
                  <c:v>8.7500000000000013E-4</c:v>
                </c:pt>
                <c:pt idx="51">
                  <c:v>9.3749999999999997E-4</c:v>
                </c:pt>
                <c:pt idx="52">
                  <c:v>1E-3</c:v>
                </c:pt>
                <c:pt idx="53">
                  <c:v>1.1249999999999999E-3</c:v>
                </c:pt>
                <c:pt idx="54">
                  <c:v>1.25E-3</c:v>
                </c:pt>
                <c:pt idx="55">
                  <c:v>1.3749999999999999E-3</c:v>
                </c:pt>
                <c:pt idx="56">
                  <c:v>1.5E-3</c:v>
                </c:pt>
                <c:pt idx="57">
                  <c:v>1.6250000000000001E-3</c:v>
                </c:pt>
                <c:pt idx="58">
                  <c:v>1.7500000000000003E-3</c:v>
                </c:pt>
                <c:pt idx="59">
                  <c:v>2E-3</c:v>
                </c:pt>
                <c:pt idx="60">
                  <c:v>2.2499999999999998E-3</c:v>
                </c:pt>
                <c:pt idx="61">
                  <c:v>2.5000000000000001E-3</c:v>
                </c:pt>
                <c:pt idx="62">
                  <c:v>2.7499999999999998E-3</c:v>
                </c:pt>
                <c:pt idx="63">
                  <c:v>3.0000000000000001E-3</c:v>
                </c:pt>
                <c:pt idx="64">
                  <c:v>3.2500000000000003E-3</c:v>
                </c:pt>
                <c:pt idx="65">
                  <c:v>3.5000000000000005E-3</c:v>
                </c:pt>
                <c:pt idx="66">
                  <c:v>3.7499999999999999E-3</c:v>
                </c:pt>
                <c:pt idx="67">
                  <c:v>4.0000000000000001E-3</c:v>
                </c:pt>
                <c:pt idx="68">
                  <c:v>4.2500000000000003E-3</c:v>
                </c:pt>
                <c:pt idx="69">
                  <c:v>4.4999999999999997E-3</c:v>
                </c:pt>
                <c:pt idx="70">
                  <c:v>5.0000000000000001E-3</c:v>
                </c:pt>
                <c:pt idx="71">
                  <c:v>5.6249999999999998E-3</c:v>
                </c:pt>
                <c:pt idx="72">
                  <c:v>6.2500000000000003E-3</c:v>
                </c:pt>
                <c:pt idx="73">
                  <c:v>6.8750000000000009E-3</c:v>
                </c:pt>
                <c:pt idx="74">
                  <c:v>7.4999999999999997E-3</c:v>
                </c:pt>
                <c:pt idx="75">
                  <c:v>8.1250000000000003E-3</c:v>
                </c:pt>
                <c:pt idx="76">
                  <c:v>8.7499999999999991E-3</c:v>
                </c:pt>
                <c:pt idx="77">
                  <c:v>9.3749999999999997E-3</c:v>
                </c:pt>
                <c:pt idx="78">
                  <c:v>0.01</c:v>
                </c:pt>
                <c:pt idx="79">
                  <c:v>1.125E-2</c:v>
                </c:pt>
                <c:pt idx="80">
                  <c:v>1.2500000000000001E-2</c:v>
                </c:pt>
                <c:pt idx="81">
                  <c:v>1.3750000000000002E-2</c:v>
                </c:pt>
                <c:pt idx="82">
                  <c:v>1.4999999999999999E-2</c:v>
                </c:pt>
                <c:pt idx="83">
                  <c:v>1.6250000000000001E-2</c:v>
                </c:pt>
                <c:pt idx="84">
                  <c:v>1.7499999999999998E-2</c:v>
                </c:pt>
                <c:pt idx="85">
                  <c:v>0.02</c:v>
                </c:pt>
                <c:pt idx="86">
                  <c:v>2.2499999999999999E-2</c:v>
                </c:pt>
                <c:pt idx="87">
                  <c:v>2.5000000000000001E-2</c:v>
                </c:pt>
                <c:pt idx="88">
                  <c:v>2.7500000000000004E-2</c:v>
                </c:pt>
                <c:pt idx="89">
                  <c:v>0.03</c:v>
                </c:pt>
                <c:pt idx="90">
                  <c:v>3.2500000000000001E-2</c:v>
                </c:pt>
                <c:pt idx="91">
                  <c:v>3.4999999999999996E-2</c:v>
                </c:pt>
                <c:pt idx="92">
                  <c:v>3.7499999999999999E-2</c:v>
                </c:pt>
                <c:pt idx="93">
                  <c:v>0.04</c:v>
                </c:pt>
                <c:pt idx="94">
                  <c:v>4.2499999999999996E-2</c:v>
                </c:pt>
                <c:pt idx="95">
                  <c:v>4.4999999999999998E-2</c:v>
                </c:pt>
                <c:pt idx="96">
                  <c:v>0.05</c:v>
                </c:pt>
                <c:pt idx="97">
                  <c:v>5.6250000000000001E-2</c:v>
                </c:pt>
                <c:pt idx="98">
                  <c:v>6.25E-2</c:v>
                </c:pt>
                <c:pt idx="99">
                  <c:v>6.8750000000000006E-2</c:v>
                </c:pt>
                <c:pt idx="100">
                  <c:v>7.4999999999999997E-2</c:v>
                </c:pt>
                <c:pt idx="101">
                  <c:v>8.1250000000000003E-2</c:v>
                </c:pt>
                <c:pt idx="102">
                  <c:v>8.7499999999999994E-2</c:v>
                </c:pt>
                <c:pt idx="103">
                  <c:v>9.375E-2</c:v>
                </c:pt>
                <c:pt idx="104">
                  <c:v>0.1</c:v>
                </c:pt>
                <c:pt idx="105">
                  <c:v>0.1125</c:v>
                </c:pt>
                <c:pt idx="106">
                  <c:v>0.125</c:v>
                </c:pt>
                <c:pt idx="107">
                  <c:v>0.13750000000000001</c:v>
                </c:pt>
                <c:pt idx="108">
                  <c:v>0.15</c:v>
                </c:pt>
                <c:pt idx="109">
                  <c:v>0.16250000000000001</c:v>
                </c:pt>
                <c:pt idx="110">
                  <c:v>0.17499999999999999</c:v>
                </c:pt>
                <c:pt idx="111">
                  <c:v>0.2</c:v>
                </c:pt>
                <c:pt idx="112">
                  <c:v>0.22500000000000001</c:v>
                </c:pt>
                <c:pt idx="113">
                  <c:v>0.25</c:v>
                </c:pt>
                <c:pt idx="114">
                  <c:v>0.27500000000000002</c:v>
                </c:pt>
                <c:pt idx="115">
                  <c:v>0.3</c:v>
                </c:pt>
                <c:pt idx="116">
                  <c:v>0.32500000000000001</c:v>
                </c:pt>
                <c:pt idx="117">
                  <c:v>0.35</c:v>
                </c:pt>
                <c:pt idx="118">
                  <c:v>0.375</c:v>
                </c:pt>
                <c:pt idx="119">
                  <c:v>0.4</c:v>
                </c:pt>
                <c:pt idx="120">
                  <c:v>0.42499999999999999</c:v>
                </c:pt>
                <c:pt idx="121">
                  <c:v>0.45</c:v>
                </c:pt>
                <c:pt idx="122">
                  <c:v>0.5</c:v>
                </c:pt>
                <c:pt idx="123">
                  <c:v>0.5625</c:v>
                </c:pt>
                <c:pt idx="124">
                  <c:v>0.625</c:v>
                </c:pt>
                <c:pt idx="125">
                  <c:v>0.6875</c:v>
                </c:pt>
                <c:pt idx="126">
                  <c:v>0.75</c:v>
                </c:pt>
                <c:pt idx="127">
                  <c:v>0.8125</c:v>
                </c:pt>
                <c:pt idx="128">
                  <c:v>0.875</c:v>
                </c:pt>
                <c:pt idx="129">
                  <c:v>0.9375</c:v>
                </c:pt>
                <c:pt idx="130">
                  <c:v>1</c:v>
                </c:pt>
                <c:pt idx="131">
                  <c:v>1.125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995-4BE7-A1D1-58C3354EF0C6}"/>
            </c:ext>
          </c:extLst>
        </c:ser>
        <c:ser>
          <c:idx val="3"/>
          <c:order val="2"/>
          <c:tx>
            <c:v>ws2 dEu2</c:v>
          </c:tx>
          <c:spPr>
            <a:ln w="12700">
              <a:solidFill>
                <a:srgbClr val="0000FF"/>
              </a:solidFill>
            </a:ln>
          </c:spPr>
          <c:marker>
            <c:symbol val="triangle"/>
            <c:size val="3"/>
            <c:spPr>
              <a:noFill/>
              <a:ln>
                <a:solidFill>
                  <a:srgbClr val="0000FF"/>
                </a:solidFill>
              </a:ln>
            </c:spPr>
          </c:marker>
          <c:xVal>
            <c:numRef>
              <c:f>'dbg30'!$Z$11:$Z$219</c:f>
              <c:numCache>
                <c:formatCode>0.00000_ </c:formatCode>
                <c:ptCount val="209"/>
                <c:pt idx="0">
                  <c:v>1.071427380952381E-5</c:v>
                </c:pt>
                <c:pt idx="1">
                  <c:v>1.1904750000000002E-5</c:v>
                </c:pt>
                <c:pt idx="2">
                  <c:v>1.3095238095238096E-5</c:v>
                </c:pt>
                <c:pt idx="3">
                  <c:v>1.4285714285714284E-5</c:v>
                </c:pt>
                <c:pt idx="4">
                  <c:v>1.5476190476190476E-5</c:v>
                </c:pt>
                <c:pt idx="5">
                  <c:v>1.6666666666666667E-5</c:v>
                </c:pt>
                <c:pt idx="6">
                  <c:v>1.7857142857142858E-5</c:v>
                </c:pt>
                <c:pt idx="7">
                  <c:v>1.9047619047619049E-5</c:v>
                </c:pt>
                <c:pt idx="8">
                  <c:v>2.0238095238095237E-5</c:v>
                </c:pt>
                <c:pt idx="9">
                  <c:v>2.1428571428571428E-5</c:v>
                </c:pt>
                <c:pt idx="10">
                  <c:v>2.380952380952381E-5</c:v>
                </c:pt>
                <c:pt idx="11">
                  <c:v>2.6785714285714284E-5</c:v>
                </c:pt>
                <c:pt idx="12">
                  <c:v>2.9761904761904762E-5</c:v>
                </c:pt>
                <c:pt idx="13">
                  <c:v>3.2738095238095239E-5</c:v>
                </c:pt>
                <c:pt idx="14">
                  <c:v>3.5714285714285717E-5</c:v>
                </c:pt>
                <c:pt idx="15">
                  <c:v>3.8690476190476188E-5</c:v>
                </c:pt>
                <c:pt idx="16">
                  <c:v>4.1666666666666665E-5</c:v>
                </c:pt>
                <c:pt idx="17">
                  <c:v>4.4642857142857143E-5</c:v>
                </c:pt>
                <c:pt idx="18">
                  <c:v>4.761904761904762E-5</c:v>
                </c:pt>
                <c:pt idx="19">
                  <c:v>5.3571428571428569E-5</c:v>
                </c:pt>
                <c:pt idx="20">
                  <c:v>5.9523809523809524E-5</c:v>
                </c:pt>
                <c:pt idx="21">
                  <c:v>6.5476190476190479E-5</c:v>
                </c:pt>
                <c:pt idx="22">
                  <c:v>7.1428571428571434E-5</c:v>
                </c:pt>
                <c:pt idx="23">
                  <c:v>7.7380952380952375E-5</c:v>
                </c:pt>
                <c:pt idx="24">
                  <c:v>8.3333333333333331E-5</c:v>
                </c:pt>
                <c:pt idx="25">
                  <c:v>9.5238095238095241E-5</c:v>
                </c:pt>
                <c:pt idx="26">
                  <c:v>1.0714285714285714E-4</c:v>
                </c:pt>
                <c:pt idx="27">
                  <c:v>1.1904761904761905E-4</c:v>
                </c:pt>
                <c:pt idx="28">
                  <c:v>1.3095238095238096E-4</c:v>
                </c:pt>
                <c:pt idx="29">
                  <c:v>1.4285714285714287E-4</c:v>
                </c:pt>
                <c:pt idx="30">
                  <c:v>1.5476190476190475E-4</c:v>
                </c:pt>
                <c:pt idx="31">
                  <c:v>1.6666666666666666E-4</c:v>
                </c:pt>
                <c:pt idx="32">
                  <c:v>1.7857142857142857E-4</c:v>
                </c:pt>
                <c:pt idx="33">
                  <c:v>1.9047619047619048E-4</c:v>
                </c:pt>
                <c:pt idx="34">
                  <c:v>2.0238095238095239E-4</c:v>
                </c:pt>
                <c:pt idx="35">
                  <c:v>2.1428571428571427E-4</c:v>
                </c:pt>
                <c:pt idx="36">
                  <c:v>2.380952380952381E-4</c:v>
                </c:pt>
                <c:pt idx="37">
                  <c:v>2.6785714285714287E-4</c:v>
                </c:pt>
                <c:pt idx="38">
                  <c:v>2.9761904761904765E-4</c:v>
                </c:pt>
                <c:pt idx="39">
                  <c:v>3.2738095238095237E-4</c:v>
                </c:pt>
                <c:pt idx="40">
                  <c:v>3.5714285714285714E-4</c:v>
                </c:pt>
                <c:pt idx="41">
                  <c:v>3.8690476190476192E-4</c:v>
                </c:pt>
                <c:pt idx="42">
                  <c:v>4.1666666666666669E-4</c:v>
                </c:pt>
                <c:pt idx="43">
                  <c:v>4.4642857142857141E-4</c:v>
                </c:pt>
                <c:pt idx="44">
                  <c:v>4.7619047619047619E-4</c:v>
                </c:pt>
                <c:pt idx="45">
                  <c:v>5.3571428571428574E-4</c:v>
                </c:pt>
                <c:pt idx="46">
                  <c:v>5.9523809523809529E-4</c:v>
                </c:pt>
                <c:pt idx="47">
                  <c:v>6.5476190476190473E-4</c:v>
                </c:pt>
                <c:pt idx="48">
                  <c:v>7.1428571428571429E-4</c:v>
                </c:pt>
                <c:pt idx="49">
                  <c:v>7.7380952380952384E-4</c:v>
                </c:pt>
                <c:pt idx="50">
                  <c:v>8.3333333333333339E-4</c:v>
                </c:pt>
                <c:pt idx="51">
                  <c:v>9.5238095238095238E-4</c:v>
                </c:pt>
                <c:pt idx="52">
                  <c:v>1.0714285714285715E-3</c:v>
                </c:pt>
                <c:pt idx="53">
                  <c:v>1.1904761904761906E-3</c:v>
                </c:pt>
                <c:pt idx="54">
                  <c:v>1.3095238095238095E-3</c:v>
                </c:pt>
                <c:pt idx="55">
                  <c:v>1.4285714285714286E-3</c:v>
                </c:pt>
                <c:pt idx="56">
                  <c:v>1.5476190476190477E-3</c:v>
                </c:pt>
                <c:pt idx="57">
                  <c:v>1.6666666666666668E-3</c:v>
                </c:pt>
                <c:pt idx="58">
                  <c:v>1.7857142857142857E-3</c:v>
                </c:pt>
                <c:pt idx="59">
                  <c:v>1.9047619047619048E-3</c:v>
                </c:pt>
                <c:pt idx="60">
                  <c:v>2.0238095238095241E-3</c:v>
                </c:pt>
                <c:pt idx="61">
                  <c:v>2.142857142857143E-3</c:v>
                </c:pt>
                <c:pt idx="62">
                  <c:v>2.3809523809523812E-3</c:v>
                </c:pt>
                <c:pt idx="63">
                  <c:v>2.6785714285714286E-3</c:v>
                </c:pt>
                <c:pt idx="64">
                  <c:v>2.976190476190476E-3</c:v>
                </c:pt>
                <c:pt idx="65">
                  <c:v>3.2738095238095239E-3</c:v>
                </c:pt>
                <c:pt idx="66">
                  <c:v>3.5714285714285713E-3</c:v>
                </c:pt>
                <c:pt idx="67">
                  <c:v>3.8690476190476192E-3</c:v>
                </c:pt>
                <c:pt idx="68">
                  <c:v>4.1666666666666666E-3</c:v>
                </c:pt>
                <c:pt idx="69">
                  <c:v>4.464285714285714E-3</c:v>
                </c:pt>
                <c:pt idx="70">
                  <c:v>4.7619047619047623E-3</c:v>
                </c:pt>
                <c:pt idx="71">
                  <c:v>5.3571428571428572E-3</c:v>
                </c:pt>
                <c:pt idx="72">
                  <c:v>5.9523809523809521E-3</c:v>
                </c:pt>
                <c:pt idx="73">
                  <c:v>6.5476190476190478E-3</c:v>
                </c:pt>
                <c:pt idx="74">
                  <c:v>7.1428571428571426E-3</c:v>
                </c:pt>
                <c:pt idx="75">
                  <c:v>7.7380952380952384E-3</c:v>
                </c:pt>
                <c:pt idx="76">
                  <c:v>8.3333333333333332E-3</c:v>
                </c:pt>
                <c:pt idx="77">
                  <c:v>9.5238095238095247E-3</c:v>
                </c:pt>
                <c:pt idx="78">
                  <c:v>1.0714285714285714E-2</c:v>
                </c:pt>
                <c:pt idx="79">
                  <c:v>1.1904761904761904E-2</c:v>
                </c:pt>
                <c:pt idx="80">
                  <c:v>1.3095238095238096E-2</c:v>
                </c:pt>
                <c:pt idx="81">
                  <c:v>1.4285714285714285E-2</c:v>
                </c:pt>
                <c:pt idx="82">
                  <c:v>1.5476190476190477E-2</c:v>
                </c:pt>
                <c:pt idx="83">
                  <c:v>1.6666666666666666E-2</c:v>
                </c:pt>
                <c:pt idx="84">
                  <c:v>1.7857142857142856E-2</c:v>
                </c:pt>
                <c:pt idx="85">
                  <c:v>1.9047619047619049E-2</c:v>
                </c:pt>
                <c:pt idx="86">
                  <c:v>2.0238095238095239E-2</c:v>
                </c:pt>
                <c:pt idx="87">
                  <c:v>2.1428571428571429E-2</c:v>
                </c:pt>
                <c:pt idx="88">
                  <c:v>2.3809523809523808E-2</c:v>
                </c:pt>
                <c:pt idx="89">
                  <c:v>2.6785714285714284E-2</c:v>
                </c:pt>
                <c:pt idx="90">
                  <c:v>2.976190476190476E-2</c:v>
                </c:pt>
                <c:pt idx="91">
                  <c:v>3.273809523809524E-2</c:v>
                </c:pt>
                <c:pt idx="92">
                  <c:v>3.5714285714285712E-2</c:v>
                </c:pt>
                <c:pt idx="93">
                  <c:v>3.8690476190476192E-2</c:v>
                </c:pt>
                <c:pt idx="94">
                  <c:v>4.1666666666666664E-2</c:v>
                </c:pt>
                <c:pt idx="95">
                  <c:v>4.4642857142857144E-2</c:v>
                </c:pt>
                <c:pt idx="96">
                  <c:v>4.7619047619047616E-2</c:v>
                </c:pt>
                <c:pt idx="97">
                  <c:v>5.3571428571428568E-2</c:v>
                </c:pt>
                <c:pt idx="98">
                  <c:v>5.9523809523809521E-2</c:v>
                </c:pt>
                <c:pt idx="99">
                  <c:v>6.5476190476190479E-2</c:v>
                </c:pt>
                <c:pt idx="100">
                  <c:v>7.1428571428571425E-2</c:v>
                </c:pt>
                <c:pt idx="101">
                  <c:v>7.7380952380952384E-2</c:v>
                </c:pt>
                <c:pt idx="102">
                  <c:v>8.3333333333333329E-2</c:v>
                </c:pt>
                <c:pt idx="103">
                  <c:v>9.5238095238095233E-2</c:v>
                </c:pt>
                <c:pt idx="104">
                  <c:v>0.10714285714285714</c:v>
                </c:pt>
                <c:pt idx="105">
                  <c:v>0.11904761904761904</c:v>
                </c:pt>
                <c:pt idx="106">
                  <c:v>0.13095238095238096</c:v>
                </c:pt>
                <c:pt idx="107">
                  <c:v>0.14285714285714285</c:v>
                </c:pt>
                <c:pt idx="108">
                  <c:v>0.15476190476190477</c:v>
                </c:pt>
                <c:pt idx="109">
                  <c:v>0.16666666666666666</c:v>
                </c:pt>
                <c:pt idx="110">
                  <c:v>0.17857142857142858</c:v>
                </c:pt>
                <c:pt idx="111">
                  <c:v>0.19047619047619047</c:v>
                </c:pt>
                <c:pt idx="112">
                  <c:v>0.20238095238095238</c:v>
                </c:pt>
                <c:pt idx="113">
                  <c:v>0.21428571428571427</c:v>
                </c:pt>
                <c:pt idx="114">
                  <c:v>0.23809523809523808</c:v>
                </c:pt>
                <c:pt idx="115">
                  <c:v>0.26785714285714285</c:v>
                </c:pt>
                <c:pt idx="116">
                  <c:v>0.29761904761904762</c:v>
                </c:pt>
                <c:pt idx="117">
                  <c:v>0.32738095238095238</c:v>
                </c:pt>
                <c:pt idx="118">
                  <c:v>0.35714285714285715</c:v>
                </c:pt>
                <c:pt idx="119">
                  <c:v>0.38690476190476192</c:v>
                </c:pt>
                <c:pt idx="120">
                  <c:v>0.41666666666666669</c:v>
                </c:pt>
                <c:pt idx="121">
                  <c:v>0.44642857142857145</c:v>
                </c:pt>
                <c:pt idx="122">
                  <c:v>0.47619047619047616</c:v>
                </c:pt>
                <c:pt idx="123">
                  <c:v>0.5357142857142857</c:v>
                </c:pt>
                <c:pt idx="124">
                  <c:v>0.59523809523809523</c:v>
                </c:pt>
                <c:pt idx="125">
                  <c:v>0.65476190476190477</c:v>
                </c:pt>
                <c:pt idx="126">
                  <c:v>0.7142857142857143</c:v>
                </c:pt>
                <c:pt idx="127">
                  <c:v>0.77380952380952384</c:v>
                </c:pt>
                <c:pt idx="128">
                  <c:v>0.83333333333333337</c:v>
                </c:pt>
                <c:pt idx="129">
                  <c:v>0.95238095238095233</c:v>
                </c:pt>
                <c:pt idx="130" formatCode="0.000_ ">
                  <c:v>1.0714285714285714</c:v>
                </c:pt>
                <c:pt idx="131" formatCode="0.000_ ">
                  <c:v>1.1904761904761905</c:v>
                </c:pt>
                <c:pt idx="132" formatCode="0.000_ ">
                  <c:v>1.3095238095238095</c:v>
                </c:pt>
                <c:pt idx="133" formatCode="0.000_ ">
                  <c:v>1.4285714285714286</c:v>
                </c:pt>
                <c:pt idx="134" formatCode="0.000_ ">
                  <c:v>1.5476190476190477</c:v>
                </c:pt>
                <c:pt idx="135" formatCode="0.000_ ">
                  <c:v>1.6666666666666667</c:v>
                </c:pt>
                <c:pt idx="136" formatCode="0.000_ ">
                  <c:v>1.7857142857142858</c:v>
                </c:pt>
                <c:pt idx="137" formatCode="0.000_ ">
                  <c:v>1.9047619047619047</c:v>
                </c:pt>
                <c:pt idx="138" formatCode="0.000_ ">
                  <c:v>2.0238095238095237</c:v>
                </c:pt>
                <c:pt idx="139" formatCode="0.000_ ">
                  <c:v>2.1428571428571428</c:v>
                </c:pt>
                <c:pt idx="140" formatCode="0.000_ ">
                  <c:v>2.3809523809523809</c:v>
                </c:pt>
                <c:pt idx="141" formatCode="0.000_ ">
                  <c:v>2.6785714285714284</c:v>
                </c:pt>
                <c:pt idx="142" formatCode="0.000_ ">
                  <c:v>2.9761904761904763</c:v>
                </c:pt>
                <c:pt idx="143" formatCode="0.000_ ">
                  <c:v>3.2738095238095237</c:v>
                </c:pt>
                <c:pt idx="144" formatCode="0.000_ ">
                  <c:v>3.5714285714285716</c:v>
                </c:pt>
                <c:pt idx="145" formatCode="0.000_ ">
                  <c:v>3.8690476190476191</c:v>
                </c:pt>
                <c:pt idx="146" formatCode="0.000_ ">
                  <c:v>4.166666666666667</c:v>
                </c:pt>
                <c:pt idx="147" formatCode="0.000_ ">
                  <c:v>4.4642857142857144</c:v>
                </c:pt>
                <c:pt idx="148" formatCode="0.000_ ">
                  <c:v>4.7619047619047619</c:v>
                </c:pt>
                <c:pt idx="149" formatCode="0.000_ ">
                  <c:v>5.3571428571428568</c:v>
                </c:pt>
                <c:pt idx="150" formatCode="0.000_ ">
                  <c:v>5.9523809523809526</c:v>
                </c:pt>
                <c:pt idx="151" formatCode="0.000_ ">
                  <c:v>6.5476190476190474</c:v>
                </c:pt>
                <c:pt idx="152" formatCode="0.000_ ">
                  <c:v>7.1428571428571432</c:v>
                </c:pt>
                <c:pt idx="153" formatCode="0.000_ ">
                  <c:v>7.7380952380952381</c:v>
                </c:pt>
                <c:pt idx="154" formatCode="0.000_ ">
                  <c:v>8.3333333333333339</c:v>
                </c:pt>
                <c:pt idx="155" formatCode="0.000_ ">
                  <c:v>9.5238095238095237</c:v>
                </c:pt>
                <c:pt idx="156" formatCode="0.000_ ">
                  <c:v>10.714285714285714</c:v>
                </c:pt>
                <c:pt idx="157" formatCode="0.000_ ">
                  <c:v>11.904761904761905</c:v>
                </c:pt>
                <c:pt idx="158" formatCode="0.000_ ">
                  <c:v>13.095238095238095</c:v>
                </c:pt>
                <c:pt idx="159" formatCode="0.000_ ">
                  <c:v>14.285714285714286</c:v>
                </c:pt>
                <c:pt idx="160" formatCode="0.000_ ">
                  <c:v>15.476190476190476</c:v>
                </c:pt>
                <c:pt idx="161" formatCode="0.000_ ">
                  <c:v>16.666666666666668</c:v>
                </c:pt>
                <c:pt idx="162" formatCode="0.000_ ">
                  <c:v>17.857142857142858</c:v>
                </c:pt>
                <c:pt idx="163" formatCode="0.000_ ">
                  <c:v>19.047619047619047</c:v>
                </c:pt>
                <c:pt idx="164" formatCode="0.000_ ">
                  <c:v>20.238095238095237</c:v>
                </c:pt>
                <c:pt idx="165" formatCode="0.000_ ">
                  <c:v>21.428571428571427</c:v>
                </c:pt>
                <c:pt idx="166" formatCode="0.000_ ">
                  <c:v>23.80952380952381</c:v>
                </c:pt>
                <c:pt idx="167" formatCode="0.000_ ">
                  <c:v>26.785714285714285</c:v>
                </c:pt>
                <c:pt idx="168" formatCode="0.000_ ">
                  <c:v>29.761904761904763</c:v>
                </c:pt>
                <c:pt idx="169" formatCode="0.000_ ">
                  <c:v>32.738095238095241</c:v>
                </c:pt>
                <c:pt idx="170" formatCode="0.000_ ">
                  <c:v>35.714285714285715</c:v>
                </c:pt>
                <c:pt idx="171" formatCode="0.000_ ">
                  <c:v>38.69047619047619</c:v>
                </c:pt>
                <c:pt idx="172" formatCode="0.000_ ">
                  <c:v>41.666666666666664</c:v>
                </c:pt>
                <c:pt idx="173" formatCode="0.000_ ">
                  <c:v>44.642857142857146</c:v>
                </c:pt>
                <c:pt idx="174" formatCode="0.000_ ">
                  <c:v>47.61904761904762</c:v>
                </c:pt>
                <c:pt idx="175" formatCode="0.000_ ">
                  <c:v>53.571428571428569</c:v>
                </c:pt>
                <c:pt idx="176" formatCode="0.000_ ">
                  <c:v>59.523809523809526</c:v>
                </c:pt>
                <c:pt idx="177" formatCode="0.000_ ">
                  <c:v>65.476190476190482</c:v>
                </c:pt>
                <c:pt idx="178" formatCode="0.000_ ">
                  <c:v>71.428571428571431</c:v>
                </c:pt>
                <c:pt idx="179" formatCode="0.000_ ">
                  <c:v>77.38095238095238</c:v>
                </c:pt>
                <c:pt idx="180" formatCode="0.000_ ">
                  <c:v>83.333333333333329</c:v>
                </c:pt>
                <c:pt idx="181" formatCode="0.000_ ">
                  <c:v>95.238095238095241</c:v>
                </c:pt>
                <c:pt idx="182" formatCode="0.00_ ">
                  <c:v>107.14285714285714</c:v>
                </c:pt>
                <c:pt idx="183" formatCode="0.00_ ">
                  <c:v>119.04761904761905</c:v>
                </c:pt>
                <c:pt idx="184" formatCode="0.00_ ">
                  <c:v>130.95238095238096</c:v>
                </c:pt>
                <c:pt idx="185" formatCode="0.00_ ">
                  <c:v>142.85714285714286</c:v>
                </c:pt>
                <c:pt idx="186" formatCode="0.00_ ">
                  <c:v>154.76190476190476</c:v>
                </c:pt>
                <c:pt idx="187" formatCode="0.00_ ">
                  <c:v>166.66666666666666</c:v>
                </c:pt>
                <c:pt idx="188" formatCode="0.00_ ">
                  <c:v>178.57142857142858</c:v>
                </c:pt>
                <c:pt idx="189" formatCode="0.00_ ">
                  <c:v>190.47619047619048</c:v>
                </c:pt>
                <c:pt idx="190" formatCode="0.00_ ">
                  <c:v>202.38095238095238</c:v>
                </c:pt>
                <c:pt idx="191" formatCode="0.00_ ">
                  <c:v>214.28571428571428</c:v>
                </c:pt>
                <c:pt idx="192" formatCode="0.00_ ">
                  <c:v>238.0952380952381</c:v>
                </c:pt>
                <c:pt idx="193" formatCode="0.00_ ">
                  <c:v>267.85714285714283</c:v>
                </c:pt>
                <c:pt idx="194" formatCode="0.00_ ">
                  <c:v>297.61904761904759</c:v>
                </c:pt>
                <c:pt idx="195" formatCode="0.00_ ">
                  <c:v>327.38095238095241</c:v>
                </c:pt>
                <c:pt idx="196" formatCode="0.00_ ">
                  <c:v>357.14285714285717</c:v>
                </c:pt>
                <c:pt idx="197" formatCode="0.00_ ">
                  <c:v>386.90476190476193</c:v>
                </c:pt>
                <c:pt idx="198" formatCode="0.00_ ">
                  <c:v>416.66666666666669</c:v>
                </c:pt>
                <c:pt idx="199" formatCode="0.00_ ">
                  <c:v>446.42857142857144</c:v>
                </c:pt>
                <c:pt idx="200" formatCode="0.00_ ">
                  <c:v>476.1904761904762</c:v>
                </c:pt>
                <c:pt idx="201" formatCode="0.00_ ">
                  <c:v>535.71428571428567</c:v>
                </c:pt>
                <c:pt idx="202" formatCode="0.00_ ">
                  <c:v>595.23809523809518</c:v>
                </c:pt>
                <c:pt idx="203" formatCode="0.00_ ">
                  <c:v>654.76190476190482</c:v>
                </c:pt>
                <c:pt idx="204" formatCode="0.00_ ">
                  <c:v>714.28571428571433</c:v>
                </c:pt>
                <c:pt idx="205" formatCode="0.00_ ">
                  <c:v>773.80952380952385</c:v>
                </c:pt>
                <c:pt idx="206" formatCode="0.00_ ">
                  <c:v>833.33333333333337</c:v>
                </c:pt>
                <c:pt idx="207" formatCode="0.00_ ">
                  <c:v>952.38095238095241</c:v>
                </c:pt>
                <c:pt idx="208" formatCode="0.00_ ">
                  <c:v>1000</c:v>
                </c:pt>
              </c:numCache>
            </c:numRef>
          </c:xVal>
          <c:yVal>
            <c:numRef>
              <c:f>'dbg30'!$AD$11:$AD$219</c:f>
              <c:numCache>
                <c:formatCode>0.000_ </c:formatCode>
                <c:ptCount val="20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0.1627553893178893</c:v>
                </c:pt>
                <c:pt idx="110">
                  <c:v>0.17032863307135152</c:v>
                </c:pt>
                <c:pt idx="111">
                  <c:v>0.17808475591494458</c:v>
                </c:pt>
                <c:pt idx="112">
                  <c:v>0.18604223536548378</c:v>
                </c:pt>
                <c:pt idx="113">
                  <c:v>0.19384920634920633</c:v>
                </c:pt>
                <c:pt idx="114">
                  <c:v>0.20947802197802196</c:v>
                </c:pt>
                <c:pt idx="115">
                  <c:v>0.22808441558441558</c:v>
                </c:pt>
                <c:pt idx="116">
                  <c:v>0.24574829931972791</c:v>
                </c:pt>
                <c:pt idx="117">
                  <c:v>0.262531328320802</c:v>
                </c:pt>
                <c:pt idx="118">
                  <c:v>0.27827380952380953</c:v>
                </c:pt>
                <c:pt idx="119">
                  <c:v>0.2935267857142857</c:v>
                </c:pt>
                <c:pt idx="120">
                  <c:v>0.30739795918367346</c:v>
                </c:pt>
                <c:pt idx="121">
                  <c:v>0.32120811287477957</c:v>
                </c:pt>
                <c:pt idx="122">
                  <c:v>0.3342857142857143</c:v>
                </c:pt>
                <c:pt idx="123">
                  <c:v>0.35768398268398266</c:v>
                </c:pt>
                <c:pt idx="124">
                  <c:v>0.37912087912087911</c:v>
                </c:pt>
                <c:pt idx="125">
                  <c:v>0.39830293819655521</c:v>
                </c:pt>
                <c:pt idx="126">
                  <c:v>0.41454081632653056</c:v>
                </c:pt>
                <c:pt idx="127">
                  <c:v>0.42900696864111498</c:v>
                </c:pt>
                <c:pt idx="128">
                  <c:v>0.44261294261294271</c:v>
                </c:pt>
                <c:pt idx="129">
                  <c:v>0.46445338698859817</c:v>
                </c:pt>
                <c:pt idx="130">
                  <c:v>0.48319327731092432</c:v>
                </c:pt>
                <c:pt idx="131">
                  <c:v>0.49816849816849818</c:v>
                </c:pt>
                <c:pt idx="132">
                  <c:v>0.51034348165495702</c:v>
                </c:pt>
                <c:pt idx="133">
                  <c:v>0.52046438410074791</c:v>
                </c:pt>
                <c:pt idx="134">
                  <c:v>0.53011803011803038</c:v>
                </c:pt>
                <c:pt idx="135">
                  <c:v>0.53675856307435277</c:v>
                </c:pt>
                <c:pt idx="136">
                  <c:v>0.5436156763590394</c:v>
                </c:pt>
                <c:pt idx="137">
                  <c:v>0.54912054912054908</c:v>
                </c:pt>
                <c:pt idx="138">
                  <c:v>0.5537352555701176</c:v>
                </c:pt>
                <c:pt idx="139">
                  <c:v>0.558103975535168</c:v>
                </c:pt>
                <c:pt idx="140">
                  <c:v>0.56408544726301724</c:v>
                </c:pt>
                <c:pt idx="141">
                  <c:v>0.56519274376417217</c:v>
                </c:pt>
                <c:pt idx="142">
                  <c:v>0.56367243867243921</c:v>
                </c:pt>
                <c:pt idx="143">
                  <c:v>0.56254509379509354</c:v>
                </c:pt>
                <c:pt idx="144">
                  <c:v>0.55929919137466344</c:v>
                </c:pt>
                <c:pt idx="145">
                  <c:v>0.55622436240413808</c:v>
                </c:pt>
                <c:pt idx="146">
                  <c:v>0.55192786069651767</c:v>
                </c:pt>
                <c:pt idx="147">
                  <c:v>0.54691618344754822</c:v>
                </c:pt>
                <c:pt idx="148">
                  <c:v>0.54181929181929167</c:v>
                </c:pt>
                <c:pt idx="149">
                  <c:v>0.5295712591086259</c:v>
                </c:pt>
                <c:pt idx="150">
                  <c:v>0.51850008296001349</c:v>
                </c:pt>
                <c:pt idx="151">
                  <c:v>0.50615484288953727</c:v>
                </c:pt>
                <c:pt idx="152">
                  <c:v>0.493563926399748</c:v>
                </c:pt>
                <c:pt idx="153">
                  <c:v>0.48158421944829666</c:v>
                </c:pt>
                <c:pt idx="154">
                  <c:v>0.46869141357330424</c:v>
                </c:pt>
                <c:pt idx="155">
                  <c:v>0.45196514444806013</c:v>
                </c:pt>
                <c:pt idx="156">
                  <c:v>0.42977479800584462</c:v>
                </c:pt>
                <c:pt idx="157">
                  <c:v>0.40937970786664124</c:v>
                </c:pt>
                <c:pt idx="158">
                  <c:v>0.39006428259377124</c:v>
                </c:pt>
                <c:pt idx="159">
                  <c:v>0.37248942130043439</c:v>
                </c:pt>
                <c:pt idx="160">
                  <c:v>0.35621669373913534</c:v>
                </c:pt>
                <c:pt idx="161">
                  <c:v>0.34091528936889759</c:v>
                </c:pt>
                <c:pt idx="162">
                  <c:v>0.32687429722026096</c:v>
                </c:pt>
                <c:pt idx="163">
                  <c:v>0.3141098127905515</c:v>
                </c:pt>
                <c:pt idx="164">
                  <c:v>0.30199801889299493</c:v>
                </c:pt>
                <c:pt idx="165">
                  <c:v>0.29092771028254916</c:v>
                </c:pt>
                <c:pt idx="166">
                  <c:v>0.27627667451292481</c:v>
                </c:pt>
                <c:pt idx="167">
                  <c:v>0.25745592354588709</c:v>
                </c:pt>
                <c:pt idx="168">
                  <c:v>0.24059745159179258</c:v>
                </c:pt>
                <c:pt idx="169">
                  <c:v>0.2262918549414934</c:v>
                </c:pt>
                <c:pt idx="170">
                  <c:v>0.21325526484597646</c:v>
                </c:pt>
                <c:pt idx="171">
                  <c:v>0.20174826980683491</c:v>
                </c:pt>
                <c:pt idx="172">
                  <c:v>0.19159202241473139</c:v>
                </c:pt>
                <c:pt idx="173">
                  <c:v>0.18252118705939324</c:v>
                </c:pt>
                <c:pt idx="174">
                  <c:v>0.17443385747218798</c:v>
                </c:pt>
                <c:pt idx="175">
                  <c:v>0.1617846529783904</c:v>
                </c:pt>
                <c:pt idx="176">
                  <c:v>0.15664160401002647</c:v>
                </c:pt>
                <c:pt idx="177">
                  <c:v>0.14172335600906649</c:v>
                </c:pt>
                <c:pt idx="178">
                  <c:v>0.12939958592131973</c:v>
                </c:pt>
                <c:pt idx="179">
                  <c:v>0.12400793650793673</c:v>
                </c:pt>
                <c:pt idx="180">
                  <c:v>0.1190476190476204</c:v>
                </c:pt>
                <c:pt idx="181">
                  <c:v>0.11230907457323269</c:v>
                </c:pt>
                <c:pt idx="182">
                  <c:v>0.10088781275221947</c:v>
                </c:pt>
                <c:pt idx="183">
                  <c:v>9.4482237339377662E-2</c:v>
                </c:pt>
                <c:pt idx="184">
                  <c:v>8.7535014005595713E-2</c:v>
                </c:pt>
                <c:pt idx="185">
                  <c:v>8.2671957671948348E-2</c:v>
                </c:pt>
                <c:pt idx="186">
                  <c:v>7.7303648732225838E-2</c:v>
                </c:pt>
                <c:pt idx="187">
                  <c:v>7.4404761904759198E-2</c:v>
                </c:pt>
                <c:pt idx="188">
                  <c:v>7.0861678004547457E-2</c:v>
                </c:pt>
                <c:pt idx="189">
                  <c:v>6.8418171866454713E-2</c:v>
                </c:pt>
                <c:pt idx="190">
                  <c:v>6.4699792960652758E-2</c:v>
                </c:pt>
                <c:pt idx="191">
                  <c:v>6.3323201621074077E-2</c:v>
                </c:pt>
                <c:pt idx="192">
                  <c:v>5.9822924144526723E-2</c:v>
                </c:pt>
                <c:pt idx="193">
                  <c:v>5.6154537286602135E-2</c:v>
                </c:pt>
                <c:pt idx="194">
                  <c:v>5.2582870604055643E-2</c:v>
                </c:pt>
                <c:pt idx="195">
                  <c:v>4.9936081815303623E-2</c:v>
                </c:pt>
                <c:pt idx="196">
                  <c:v>4.7542978852902706E-2</c:v>
                </c:pt>
                <c:pt idx="197">
                  <c:v>4.5647093193110777E-2</c:v>
                </c:pt>
                <c:pt idx="198">
                  <c:v>4.4026486334189485E-2</c:v>
                </c:pt>
                <c:pt idx="199">
                  <c:v>4.2517006802711421E-2</c:v>
                </c:pt>
                <c:pt idx="200">
                  <c:v>4.1335978836002596E-2</c:v>
                </c:pt>
                <c:pt idx="201">
                  <c:v>3.9841907311824798E-2</c:v>
                </c:pt>
                <c:pt idx="202">
                  <c:v>3.8107432473680092E-2</c:v>
                </c:pt>
                <c:pt idx="203">
                  <c:v>3.6788510212545589E-2</c:v>
                </c:pt>
                <c:pt idx="204">
                  <c:v>3.5685737124595107E-2</c:v>
                </c:pt>
                <c:pt idx="205">
                  <c:v>3.4809245335509331E-2</c:v>
                </c:pt>
                <c:pt idx="206">
                  <c:v>3.4052522610863889E-2</c:v>
                </c:pt>
                <c:pt idx="207">
                  <c:v>3.3197885958657025E-2</c:v>
                </c:pt>
                <c:pt idx="208">
                  <c:v>3.2526671870982682E-2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995-4BE7-A1D1-58C3354EF0C6}"/>
            </c:ext>
          </c:extLst>
        </c:ser>
        <c:ser>
          <c:idx val="4"/>
          <c:order val="3"/>
          <c:tx>
            <c:v>ws2 dEu2 stop</c:v>
          </c:tx>
          <c:spPr>
            <a:ln w="12700">
              <a:solidFill>
                <a:srgbClr val="0070C0"/>
              </a:solidFill>
            </a:ln>
          </c:spPr>
          <c:marker>
            <c:symbol val="triangle"/>
            <c:size val="3"/>
            <c:spPr>
              <a:solidFill>
                <a:srgbClr val="0070C0"/>
              </a:solidFill>
              <a:ln>
                <a:noFill/>
              </a:ln>
            </c:spPr>
          </c:marker>
          <c:xVal>
            <c:numRef>
              <c:f>'dbg30'!$Z$11:$Z$219</c:f>
              <c:numCache>
                <c:formatCode>0.00000_ </c:formatCode>
                <c:ptCount val="209"/>
                <c:pt idx="0">
                  <c:v>1.071427380952381E-5</c:v>
                </c:pt>
                <c:pt idx="1">
                  <c:v>1.1904750000000002E-5</c:v>
                </c:pt>
                <c:pt idx="2">
                  <c:v>1.3095238095238096E-5</c:v>
                </c:pt>
                <c:pt idx="3">
                  <c:v>1.4285714285714284E-5</c:v>
                </c:pt>
                <c:pt idx="4">
                  <c:v>1.5476190476190476E-5</c:v>
                </c:pt>
                <c:pt idx="5">
                  <c:v>1.6666666666666667E-5</c:v>
                </c:pt>
                <c:pt idx="6">
                  <c:v>1.7857142857142858E-5</c:v>
                </c:pt>
                <c:pt idx="7">
                  <c:v>1.9047619047619049E-5</c:v>
                </c:pt>
                <c:pt idx="8">
                  <c:v>2.0238095238095237E-5</c:v>
                </c:pt>
                <c:pt idx="9">
                  <c:v>2.1428571428571428E-5</c:v>
                </c:pt>
                <c:pt idx="10">
                  <c:v>2.380952380952381E-5</c:v>
                </c:pt>
                <c:pt idx="11">
                  <c:v>2.6785714285714284E-5</c:v>
                </c:pt>
                <c:pt idx="12">
                  <c:v>2.9761904761904762E-5</c:v>
                </c:pt>
                <c:pt idx="13">
                  <c:v>3.2738095238095239E-5</c:v>
                </c:pt>
                <c:pt idx="14">
                  <c:v>3.5714285714285717E-5</c:v>
                </c:pt>
                <c:pt idx="15">
                  <c:v>3.8690476190476188E-5</c:v>
                </c:pt>
                <c:pt idx="16">
                  <c:v>4.1666666666666665E-5</c:v>
                </c:pt>
                <c:pt idx="17">
                  <c:v>4.4642857142857143E-5</c:v>
                </c:pt>
                <c:pt idx="18">
                  <c:v>4.761904761904762E-5</c:v>
                </c:pt>
                <c:pt idx="19">
                  <c:v>5.3571428571428569E-5</c:v>
                </c:pt>
                <c:pt idx="20">
                  <c:v>5.9523809523809524E-5</c:v>
                </c:pt>
                <c:pt idx="21">
                  <c:v>6.5476190476190479E-5</c:v>
                </c:pt>
                <c:pt idx="22">
                  <c:v>7.1428571428571434E-5</c:v>
                </c:pt>
                <c:pt idx="23">
                  <c:v>7.7380952380952375E-5</c:v>
                </c:pt>
                <c:pt idx="24">
                  <c:v>8.3333333333333331E-5</c:v>
                </c:pt>
                <c:pt idx="25">
                  <c:v>9.5238095238095241E-5</c:v>
                </c:pt>
                <c:pt idx="26">
                  <c:v>1.0714285714285714E-4</c:v>
                </c:pt>
                <c:pt idx="27">
                  <c:v>1.1904761904761905E-4</c:v>
                </c:pt>
                <c:pt idx="28">
                  <c:v>1.3095238095238096E-4</c:v>
                </c:pt>
                <c:pt idx="29">
                  <c:v>1.4285714285714287E-4</c:v>
                </c:pt>
                <c:pt idx="30">
                  <c:v>1.5476190476190475E-4</c:v>
                </c:pt>
                <c:pt idx="31">
                  <c:v>1.6666666666666666E-4</c:v>
                </c:pt>
                <c:pt idx="32">
                  <c:v>1.7857142857142857E-4</c:v>
                </c:pt>
                <c:pt idx="33">
                  <c:v>1.9047619047619048E-4</c:v>
                </c:pt>
                <c:pt idx="34">
                  <c:v>2.0238095238095239E-4</c:v>
                </c:pt>
                <c:pt idx="35">
                  <c:v>2.1428571428571427E-4</c:v>
                </c:pt>
                <c:pt idx="36">
                  <c:v>2.380952380952381E-4</c:v>
                </c:pt>
                <c:pt idx="37">
                  <c:v>2.6785714285714287E-4</c:v>
                </c:pt>
                <c:pt idx="38">
                  <c:v>2.9761904761904765E-4</c:v>
                </c:pt>
                <c:pt idx="39">
                  <c:v>3.2738095238095237E-4</c:v>
                </c:pt>
                <c:pt idx="40">
                  <c:v>3.5714285714285714E-4</c:v>
                </c:pt>
                <c:pt idx="41">
                  <c:v>3.8690476190476192E-4</c:v>
                </c:pt>
                <c:pt idx="42">
                  <c:v>4.1666666666666669E-4</c:v>
                </c:pt>
                <c:pt idx="43">
                  <c:v>4.4642857142857141E-4</c:v>
                </c:pt>
                <c:pt idx="44">
                  <c:v>4.7619047619047619E-4</c:v>
                </c:pt>
                <c:pt idx="45">
                  <c:v>5.3571428571428574E-4</c:v>
                </c:pt>
                <c:pt idx="46">
                  <c:v>5.9523809523809529E-4</c:v>
                </c:pt>
                <c:pt idx="47">
                  <c:v>6.5476190476190473E-4</c:v>
                </c:pt>
                <c:pt idx="48">
                  <c:v>7.1428571428571429E-4</c:v>
                </c:pt>
                <c:pt idx="49">
                  <c:v>7.7380952380952384E-4</c:v>
                </c:pt>
                <c:pt idx="50">
                  <c:v>8.3333333333333339E-4</c:v>
                </c:pt>
                <c:pt idx="51">
                  <c:v>9.5238095238095238E-4</c:v>
                </c:pt>
                <c:pt idx="52">
                  <c:v>1.0714285714285715E-3</c:v>
                </c:pt>
                <c:pt idx="53">
                  <c:v>1.1904761904761906E-3</c:v>
                </c:pt>
                <c:pt idx="54">
                  <c:v>1.3095238095238095E-3</c:v>
                </c:pt>
                <c:pt idx="55">
                  <c:v>1.4285714285714286E-3</c:v>
                </c:pt>
                <c:pt idx="56">
                  <c:v>1.5476190476190477E-3</c:v>
                </c:pt>
                <c:pt idx="57">
                  <c:v>1.6666666666666668E-3</c:v>
                </c:pt>
                <c:pt idx="58">
                  <c:v>1.7857142857142857E-3</c:v>
                </c:pt>
                <c:pt idx="59">
                  <c:v>1.9047619047619048E-3</c:v>
                </c:pt>
                <c:pt idx="60">
                  <c:v>2.0238095238095241E-3</c:v>
                </c:pt>
                <c:pt idx="61">
                  <c:v>2.142857142857143E-3</c:v>
                </c:pt>
                <c:pt idx="62">
                  <c:v>2.3809523809523812E-3</c:v>
                </c:pt>
                <c:pt idx="63">
                  <c:v>2.6785714285714286E-3</c:v>
                </c:pt>
                <c:pt idx="64">
                  <c:v>2.976190476190476E-3</c:v>
                </c:pt>
                <c:pt idx="65">
                  <c:v>3.2738095238095239E-3</c:v>
                </c:pt>
                <c:pt idx="66">
                  <c:v>3.5714285714285713E-3</c:v>
                </c:pt>
                <c:pt idx="67">
                  <c:v>3.8690476190476192E-3</c:v>
                </c:pt>
                <c:pt idx="68">
                  <c:v>4.1666666666666666E-3</c:v>
                </c:pt>
                <c:pt idx="69">
                  <c:v>4.464285714285714E-3</c:v>
                </c:pt>
                <c:pt idx="70">
                  <c:v>4.7619047619047623E-3</c:v>
                </c:pt>
                <c:pt idx="71">
                  <c:v>5.3571428571428572E-3</c:v>
                </c:pt>
                <c:pt idx="72">
                  <c:v>5.9523809523809521E-3</c:v>
                </c:pt>
                <c:pt idx="73">
                  <c:v>6.5476190476190478E-3</c:v>
                </c:pt>
                <c:pt idx="74">
                  <c:v>7.1428571428571426E-3</c:v>
                </c:pt>
                <c:pt idx="75">
                  <c:v>7.7380952380952384E-3</c:v>
                </c:pt>
                <c:pt idx="76">
                  <c:v>8.3333333333333332E-3</c:v>
                </c:pt>
                <c:pt idx="77">
                  <c:v>9.5238095238095247E-3</c:v>
                </c:pt>
                <c:pt idx="78">
                  <c:v>1.0714285714285714E-2</c:v>
                </c:pt>
                <c:pt idx="79">
                  <c:v>1.1904761904761904E-2</c:v>
                </c:pt>
                <c:pt idx="80">
                  <c:v>1.3095238095238096E-2</c:v>
                </c:pt>
                <c:pt idx="81">
                  <c:v>1.4285714285714285E-2</c:v>
                </c:pt>
                <c:pt idx="82">
                  <c:v>1.5476190476190477E-2</c:v>
                </c:pt>
                <c:pt idx="83">
                  <c:v>1.6666666666666666E-2</c:v>
                </c:pt>
                <c:pt idx="84">
                  <c:v>1.7857142857142856E-2</c:v>
                </c:pt>
                <c:pt idx="85">
                  <c:v>1.9047619047619049E-2</c:v>
                </c:pt>
                <c:pt idx="86">
                  <c:v>2.0238095238095239E-2</c:v>
                </c:pt>
                <c:pt idx="87">
                  <c:v>2.1428571428571429E-2</c:v>
                </c:pt>
                <c:pt idx="88">
                  <c:v>2.3809523809523808E-2</c:v>
                </c:pt>
                <c:pt idx="89">
                  <c:v>2.6785714285714284E-2</c:v>
                </c:pt>
                <c:pt idx="90">
                  <c:v>2.976190476190476E-2</c:v>
                </c:pt>
                <c:pt idx="91">
                  <c:v>3.273809523809524E-2</c:v>
                </c:pt>
                <c:pt idx="92">
                  <c:v>3.5714285714285712E-2</c:v>
                </c:pt>
                <c:pt idx="93">
                  <c:v>3.8690476190476192E-2</c:v>
                </c:pt>
                <c:pt idx="94">
                  <c:v>4.1666666666666664E-2</c:v>
                </c:pt>
                <c:pt idx="95">
                  <c:v>4.4642857142857144E-2</c:v>
                </c:pt>
                <c:pt idx="96">
                  <c:v>4.7619047619047616E-2</c:v>
                </c:pt>
                <c:pt idx="97">
                  <c:v>5.3571428571428568E-2</c:v>
                </c:pt>
                <c:pt idx="98">
                  <c:v>5.9523809523809521E-2</c:v>
                </c:pt>
                <c:pt idx="99">
                  <c:v>6.5476190476190479E-2</c:v>
                </c:pt>
                <c:pt idx="100">
                  <c:v>7.1428571428571425E-2</c:v>
                </c:pt>
                <c:pt idx="101">
                  <c:v>7.7380952380952384E-2</c:v>
                </c:pt>
                <c:pt idx="102">
                  <c:v>8.3333333333333329E-2</c:v>
                </c:pt>
                <c:pt idx="103">
                  <c:v>9.5238095238095233E-2</c:v>
                </c:pt>
                <c:pt idx="104">
                  <c:v>0.10714285714285714</c:v>
                </c:pt>
                <c:pt idx="105">
                  <c:v>0.11904761904761904</c:v>
                </c:pt>
                <c:pt idx="106">
                  <c:v>0.13095238095238096</c:v>
                </c:pt>
                <c:pt idx="107">
                  <c:v>0.14285714285714285</c:v>
                </c:pt>
                <c:pt idx="108">
                  <c:v>0.15476190476190477</c:v>
                </c:pt>
                <c:pt idx="109">
                  <c:v>0.16666666666666666</c:v>
                </c:pt>
                <c:pt idx="110">
                  <c:v>0.17857142857142858</c:v>
                </c:pt>
                <c:pt idx="111">
                  <c:v>0.19047619047619047</c:v>
                </c:pt>
                <c:pt idx="112">
                  <c:v>0.20238095238095238</c:v>
                </c:pt>
                <c:pt idx="113">
                  <c:v>0.21428571428571427</c:v>
                </c:pt>
                <c:pt idx="114">
                  <c:v>0.23809523809523808</c:v>
                </c:pt>
                <c:pt idx="115">
                  <c:v>0.26785714285714285</c:v>
                </c:pt>
                <c:pt idx="116">
                  <c:v>0.29761904761904762</c:v>
                </c:pt>
                <c:pt idx="117">
                  <c:v>0.32738095238095238</c:v>
                </c:pt>
                <c:pt idx="118">
                  <c:v>0.35714285714285715</c:v>
                </c:pt>
                <c:pt idx="119">
                  <c:v>0.38690476190476192</c:v>
                </c:pt>
                <c:pt idx="120">
                  <c:v>0.41666666666666669</c:v>
                </c:pt>
                <c:pt idx="121">
                  <c:v>0.44642857142857145</c:v>
                </c:pt>
                <c:pt idx="122">
                  <c:v>0.47619047619047616</c:v>
                </c:pt>
                <c:pt idx="123">
                  <c:v>0.5357142857142857</c:v>
                </c:pt>
                <c:pt idx="124">
                  <c:v>0.59523809523809523</c:v>
                </c:pt>
                <c:pt idx="125">
                  <c:v>0.65476190476190477</c:v>
                </c:pt>
                <c:pt idx="126">
                  <c:v>0.7142857142857143</c:v>
                </c:pt>
                <c:pt idx="127">
                  <c:v>0.77380952380952384</c:v>
                </c:pt>
                <c:pt idx="128">
                  <c:v>0.83333333333333337</c:v>
                </c:pt>
                <c:pt idx="129">
                  <c:v>0.95238095238095233</c:v>
                </c:pt>
                <c:pt idx="130" formatCode="0.000_ ">
                  <c:v>1.0714285714285714</c:v>
                </c:pt>
                <c:pt idx="131" formatCode="0.000_ ">
                  <c:v>1.1904761904761905</c:v>
                </c:pt>
                <c:pt idx="132" formatCode="0.000_ ">
                  <c:v>1.3095238095238095</c:v>
                </c:pt>
                <c:pt idx="133" formatCode="0.000_ ">
                  <c:v>1.4285714285714286</c:v>
                </c:pt>
                <c:pt idx="134" formatCode="0.000_ ">
                  <c:v>1.5476190476190477</c:v>
                </c:pt>
                <c:pt idx="135" formatCode="0.000_ ">
                  <c:v>1.6666666666666667</c:v>
                </c:pt>
                <c:pt idx="136" formatCode="0.000_ ">
                  <c:v>1.7857142857142858</c:v>
                </c:pt>
                <c:pt idx="137" formatCode="0.000_ ">
                  <c:v>1.9047619047619047</c:v>
                </c:pt>
                <c:pt idx="138" formatCode="0.000_ ">
                  <c:v>2.0238095238095237</c:v>
                </c:pt>
                <c:pt idx="139" formatCode="0.000_ ">
                  <c:v>2.1428571428571428</c:v>
                </c:pt>
                <c:pt idx="140" formatCode="0.000_ ">
                  <c:v>2.3809523809523809</c:v>
                </c:pt>
                <c:pt idx="141" formatCode="0.000_ ">
                  <c:v>2.6785714285714284</c:v>
                </c:pt>
                <c:pt idx="142" formatCode="0.000_ ">
                  <c:v>2.9761904761904763</c:v>
                </c:pt>
                <c:pt idx="143" formatCode="0.000_ ">
                  <c:v>3.2738095238095237</c:v>
                </c:pt>
                <c:pt idx="144" formatCode="0.000_ ">
                  <c:v>3.5714285714285716</c:v>
                </c:pt>
                <c:pt idx="145" formatCode="0.000_ ">
                  <c:v>3.8690476190476191</c:v>
                </c:pt>
                <c:pt idx="146" formatCode="0.000_ ">
                  <c:v>4.166666666666667</c:v>
                </c:pt>
                <c:pt idx="147" formatCode="0.000_ ">
                  <c:v>4.4642857142857144</c:v>
                </c:pt>
                <c:pt idx="148" formatCode="0.000_ ">
                  <c:v>4.7619047619047619</c:v>
                </c:pt>
                <c:pt idx="149" formatCode="0.000_ ">
                  <c:v>5.3571428571428568</c:v>
                </c:pt>
                <c:pt idx="150" formatCode="0.000_ ">
                  <c:v>5.9523809523809526</c:v>
                </c:pt>
                <c:pt idx="151" formatCode="0.000_ ">
                  <c:v>6.5476190476190474</c:v>
                </c:pt>
                <c:pt idx="152" formatCode="0.000_ ">
                  <c:v>7.1428571428571432</c:v>
                </c:pt>
                <c:pt idx="153" formatCode="0.000_ ">
                  <c:v>7.7380952380952381</c:v>
                </c:pt>
                <c:pt idx="154" formatCode="0.000_ ">
                  <c:v>8.3333333333333339</c:v>
                </c:pt>
                <c:pt idx="155" formatCode="0.000_ ">
                  <c:v>9.5238095238095237</c:v>
                </c:pt>
                <c:pt idx="156" formatCode="0.000_ ">
                  <c:v>10.714285714285714</c:v>
                </c:pt>
                <c:pt idx="157" formatCode="0.000_ ">
                  <c:v>11.904761904761905</c:v>
                </c:pt>
                <c:pt idx="158" formatCode="0.000_ ">
                  <c:v>13.095238095238095</c:v>
                </c:pt>
                <c:pt idx="159" formatCode="0.000_ ">
                  <c:v>14.285714285714286</c:v>
                </c:pt>
                <c:pt idx="160" formatCode="0.000_ ">
                  <c:v>15.476190476190476</c:v>
                </c:pt>
                <c:pt idx="161" formatCode="0.000_ ">
                  <c:v>16.666666666666668</c:v>
                </c:pt>
                <c:pt idx="162" formatCode="0.000_ ">
                  <c:v>17.857142857142858</c:v>
                </c:pt>
                <c:pt idx="163" formatCode="0.000_ ">
                  <c:v>19.047619047619047</c:v>
                </c:pt>
                <c:pt idx="164" formatCode="0.000_ ">
                  <c:v>20.238095238095237</c:v>
                </c:pt>
                <c:pt idx="165" formatCode="0.000_ ">
                  <c:v>21.428571428571427</c:v>
                </c:pt>
                <c:pt idx="166" formatCode="0.000_ ">
                  <c:v>23.80952380952381</c:v>
                </c:pt>
                <c:pt idx="167" formatCode="0.000_ ">
                  <c:v>26.785714285714285</c:v>
                </c:pt>
                <c:pt idx="168" formatCode="0.000_ ">
                  <c:v>29.761904761904763</c:v>
                </c:pt>
                <c:pt idx="169" formatCode="0.000_ ">
                  <c:v>32.738095238095241</c:v>
                </c:pt>
                <c:pt idx="170" formatCode="0.000_ ">
                  <c:v>35.714285714285715</c:v>
                </c:pt>
                <c:pt idx="171" formatCode="0.000_ ">
                  <c:v>38.69047619047619</c:v>
                </c:pt>
                <c:pt idx="172" formatCode="0.000_ ">
                  <c:v>41.666666666666664</c:v>
                </c:pt>
                <c:pt idx="173" formatCode="0.000_ ">
                  <c:v>44.642857142857146</c:v>
                </c:pt>
                <c:pt idx="174" formatCode="0.000_ ">
                  <c:v>47.61904761904762</c:v>
                </c:pt>
                <c:pt idx="175" formatCode="0.000_ ">
                  <c:v>53.571428571428569</c:v>
                </c:pt>
                <c:pt idx="176" formatCode="0.000_ ">
                  <c:v>59.523809523809526</c:v>
                </c:pt>
                <c:pt idx="177" formatCode="0.000_ ">
                  <c:v>65.476190476190482</c:v>
                </c:pt>
                <c:pt idx="178" formatCode="0.000_ ">
                  <c:v>71.428571428571431</c:v>
                </c:pt>
                <c:pt idx="179" formatCode="0.000_ ">
                  <c:v>77.38095238095238</c:v>
                </c:pt>
                <c:pt idx="180" formatCode="0.000_ ">
                  <c:v>83.333333333333329</c:v>
                </c:pt>
                <c:pt idx="181" formatCode="0.000_ ">
                  <c:v>95.238095238095241</c:v>
                </c:pt>
                <c:pt idx="182" formatCode="0.00_ ">
                  <c:v>107.14285714285714</c:v>
                </c:pt>
                <c:pt idx="183" formatCode="0.00_ ">
                  <c:v>119.04761904761905</c:v>
                </c:pt>
                <c:pt idx="184" formatCode="0.00_ ">
                  <c:v>130.95238095238096</c:v>
                </c:pt>
                <c:pt idx="185" formatCode="0.00_ ">
                  <c:v>142.85714285714286</c:v>
                </c:pt>
                <c:pt idx="186" formatCode="0.00_ ">
                  <c:v>154.76190476190476</c:v>
                </c:pt>
                <c:pt idx="187" formatCode="0.00_ ">
                  <c:v>166.66666666666666</c:v>
                </c:pt>
                <c:pt idx="188" formatCode="0.00_ ">
                  <c:v>178.57142857142858</c:v>
                </c:pt>
                <c:pt idx="189" formatCode="0.00_ ">
                  <c:v>190.47619047619048</c:v>
                </c:pt>
                <c:pt idx="190" formatCode="0.00_ ">
                  <c:v>202.38095238095238</c:v>
                </c:pt>
                <c:pt idx="191" formatCode="0.00_ ">
                  <c:v>214.28571428571428</c:v>
                </c:pt>
                <c:pt idx="192" formatCode="0.00_ ">
                  <c:v>238.0952380952381</c:v>
                </c:pt>
                <c:pt idx="193" formatCode="0.00_ ">
                  <c:v>267.85714285714283</c:v>
                </c:pt>
                <c:pt idx="194" formatCode="0.00_ ">
                  <c:v>297.61904761904759</c:v>
                </c:pt>
                <c:pt idx="195" formatCode="0.00_ ">
                  <c:v>327.38095238095241</c:v>
                </c:pt>
                <c:pt idx="196" formatCode="0.00_ ">
                  <c:v>357.14285714285717</c:v>
                </c:pt>
                <c:pt idx="197" formatCode="0.00_ ">
                  <c:v>386.90476190476193</c:v>
                </c:pt>
                <c:pt idx="198" formatCode="0.00_ ">
                  <c:v>416.66666666666669</c:v>
                </c:pt>
                <c:pt idx="199" formatCode="0.00_ ">
                  <c:v>446.42857142857144</c:v>
                </c:pt>
                <c:pt idx="200" formatCode="0.00_ ">
                  <c:v>476.1904761904762</c:v>
                </c:pt>
                <c:pt idx="201" formatCode="0.00_ ">
                  <c:v>535.71428571428567</c:v>
                </c:pt>
                <c:pt idx="202" formatCode="0.00_ ">
                  <c:v>595.23809523809518</c:v>
                </c:pt>
                <c:pt idx="203" formatCode="0.00_ ">
                  <c:v>654.76190476190482</c:v>
                </c:pt>
                <c:pt idx="204" formatCode="0.00_ ">
                  <c:v>714.28571428571433</c:v>
                </c:pt>
                <c:pt idx="205" formatCode="0.00_ ">
                  <c:v>773.80952380952385</c:v>
                </c:pt>
                <c:pt idx="206" formatCode="0.00_ ">
                  <c:v>833.33333333333337</c:v>
                </c:pt>
                <c:pt idx="207" formatCode="0.00_ ">
                  <c:v>952.38095238095241</c:v>
                </c:pt>
                <c:pt idx="208" formatCode="0.00_ ">
                  <c:v>1000</c:v>
                </c:pt>
              </c:numCache>
            </c:numRef>
          </c:xVal>
          <c:yVal>
            <c:numRef>
              <c:f>'dbg30'!$AE$11:$AE$219</c:f>
              <c:numCache>
                <c:formatCode>0.000_ </c:formatCode>
                <c:ptCount val="209"/>
                <c:pt idx="0">
                  <c:v>1.071427380952381E-5</c:v>
                </c:pt>
                <c:pt idx="1">
                  <c:v>1.1904750000000002E-5</c:v>
                </c:pt>
                <c:pt idx="2">
                  <c:v>1.3095238095238096E-5</c:v>
                </c:pt>
                <c:pt idx="3">
                  <c:v>1.4285714285714284E-5</c:v>
                </c:pt>
                <c:pt idx="4">
                  <c:v>1.5476190476190476E-5</c:v>
                </c:pt>
                <c:pt idx="5">
                  <c:v>1.6666666666666667E-5</c:v>
                </c:pt>
                <c:pt idx="6">
                  <c:v>1.7857142857142858E-5</c:v>
                </c:pt>
                <c:pt idx="7">
                  <c:v>1.9047619047619049E-5</c:v>
                </c:pt>
                <c:pt idx="8">
                  <c:v>2.0238095238095237E-5</c:v>
                </c:pt>
                <c:pt idx="9">
                  <c:v>2.1428571428571428E-5</c:v>
                </c:pt>
                <c:pt idx="10">
                  <c:v>2.380952380952381E-5</c:v>
                </c:pt>
                <c:pt idx="11">
                  <c:v>2.6785714285714284E-5</c:v>
                </c:pt>
                <c:pt idx="12">
                  <c:v>2.9761904761904762E-5</c:v>
                </c:pt>
                <c:pt idx="13">
                  <c:v>3.2738095238095239E-5</c:v>
                </c:pt>
                <c:pt idx="14">
                  <c:v>3.5714285714285717E-5</c:v>
                </c:pt>
                <c:pt idx="15">
                  <c:v>3.8690476190476188E-5</c:v>
                </c:pt>
                <c:pt idx="16">
                  <c:v>4.1666666666666665E-5</c:v>
                </c:pt>
                <c:pt idx="17">
                  <c:v>4.4642857142857143E-5</c:v>
                </c:pt>
                <c:pt idx="18">
                  <c:v>4.761904761904762E-5</c:v>
                </c:pt>
                <c:pt idx="19">
                  <c:v>5.3571428571428569E-5</c:v>
                </c:pt>
                <c:pt idx="20">
                  <c:v>5.9523809523809524E-5</c:v>
                </c:pt>
                <c:pt idx="21">
                  <c:v>6.5476190476190479E-5</c:v>
                </c:pt>
                <c:pt idx="22">
                  <c:v>7.1428571428571434E-5</c:v>
                </c:pt>
                <c:pt idx="23">
                  <c:v>7.7380952380952375E-5</c:v>
                </c:pt>
                <c:pt idx="24">
                  <c:v>8.3333333333333331E-5</c:v>
                </c:pt>
                <c:pt idx="25">
                  <c:v>9.5238095238095241E-5</c:v>
                </c:pt>
                <c:pt idx="26">
                  <c:v>1.0714285714285714E-4</c:v>
                </c:pt>
                <c:pt idx="27">
                  <c:v>1.1904761904761905E-4</c:v>
                </c:pt>
                <c:pt idx="28">
                  <c:v>1.3095238095238096E-4</c:v>
                </c:pt>
                <c:pt idx="29">
                  <c:v>1.4285714285714287E-4</c:v>
                </c:pt>
                <c:pt idx="30">
                  <c:v>1.5476190476190475E-4</c:v>
                </c:pt>
                <c:pt idx="31">
                  <c:v>1.6666666666666666E-4</c:v>
                </c:pt>
                <c:pt idx="32">
                  <c:v>1.7857142857142857E-4</c:v>
                </c:pt>
                <c:pt idx="33">
                  <c:v>1.9047619047619048E-4</c:v>
                </c:pt>
                <c:pt idx="34">
                  <c:v>2.0238095238095239E-4</c:v>
                </c:pt>
                <c:pt idx="35">
                  <c:v>2.1428571428571427E-4</c:v>
                </c:pt>
                <c:pt idx="36">
                  <c:v>2.380952380952381E-4</c:v>
                </c:pt>
                <c:pt idx="37">
                  <c:v>2.6785714285714287E-4</c:v>
                </c:pt>
                <c:pt idx="38">
                  <c:v>2.9761904761904765E-4</c:v>
                </c:pt>
                <c:pt idx="39">
                  <c:v>3.2738095238095237E-4</c:v>
                </c:pt>
                <c:pt idx="40">
                  <c:v>3.5714285714285714E-4</c:v>
                </c:pt>
                <c:pt idx="41">
                  <c:v>3.8690476190476192E-4</c:v>
                </c:pt>
                <c:pt idx="42">
                  <c:v>4.1666666666666669E-4</c:v>
                </c:pt>
                <c:pt idx="43">
                  <c:v>4.4642857142857141E-4</c:v>
                </c:pt>
                <c:pt idx="44">
                  <c:v>4.7619047619047619E-4</c:v>
                </c:pt>
                <c:pt idx="45">
                  <c:v>5.3571428571428574E-4</c:v>
                </c:pt>
                <c:pt idx="46">
                  <c:v>5.9523809523809529E-4</c:v>
                </c:pt>
                <c:pt idx="47">
                  <c:v>6.5476190476190473E-4</c:v>
                </c:pt>
                <c:pt idx="48">
                  <c:v>7.1428571428571429E-4</c:v>
                </c:pt>
                <c:pt idx="49">
                  <c:v>7.7380952380952384E-4</c:v>
                </c:pt>
                <c:pt idx="50">
                  <c:v>8.3333333333333339E-4</c:v>
                </c:pt>
                <c:pt idx="51">
                  <c:v>9.5238095238095238E-4</c:v>
                </c:pt>
                <c:pt idx="52">
                  <c:v>1.0714285714285715E-3</c:v>
                </c:pt>
                <c:pt idx="53">
                  <c:v>1.1904761904761906E-3</c:v>
                </c:pt>
                <c:pt idx="54">
                  <c:v>1.3095238095238095E-3</c:v>
                </c:pt>
                <c:pt idx="55">
                  <c:v>1.4285714285714286E-3</c:v>
                </c:pt>
                <c:pt idx="56">
                  <c:v>1.5476190476190477E-3</c:v>
                </c:pt>
                <c:pt idx="57">
                  <c:v>1.6666666666666668E-3</c:v>
                </c:pt>
                <c:pt idx="58">
                  <c:v>1.7857142857142857E-3</c:v>
                </c:pt>
                <c:pt idx="59">
                  <c:v>1.9047619047619048E-3</c:v>
                </c:pt>
                <c:pt idx="60">
                  <c:v>2.0238095238095241E-3</c:v>
                </c:pt>
                <c:pt idx="61">
                  <c:v>2.142857142857143E-3</c:v>
                </c:pt>
                <c:pt idx="62">
                  <c:v>2.3809523809523812E-3</c:v>
                </c:pt>
                <c:pt idx="63">
                  <c:v>2.6785714285714286E-3</c:v>
                </c:pt>
                <c:pt idx="64">
                  <c:v>2.976190476190476E-3</c:v>
                </c:pt>
                <c:pt idx="65">
                  <c:v>3.2738095238095239E-3</c:v>
                </c:pt>
                <c:pt idx="66">
                  <c:v>3.5714285714285713E-3</c:v>
                </c:pt>
                <c:pt idx="67">
                  <c:v>3.8690476190476192E-3</c:v>
                </c:pt>
                <c:pt idx="68">
                  <c:v>4.1666666666666666E-3</c:v>
                </c:pt>
                <c:pt idx="69">
                  <c:v>4.464285714285714E-3</c:v>
                </c:pt>
                <c:pt idx="70">
                  <c:v>4.7619047619047623E-3</c:v>
                </c:pt>
                <c:pt idx="71">
                  <c:v>5.3571428571428572E-3</c:v>
                </c:pt>
                <c:pt idx="72">
                  <c:v>5.9523809523809521E-3</c:v>
                </c:pt>
                <c:pt idx="73">
                  <c:v>6.5476190476190478E-3</c:v>
                </c:pt>
                <c:pt idx="74">
                  <c:v>7.1428571428571426E-3</c:v>
                </c:pt>
                <c:pt idx="75">
                  <c:v>7.7380952380952384E-3</c:v>
                </c:pt>
                <c:pt idx="76">
                  <c:v>8.3333333333333332E-3</c:v>
                </c:pt>
                <c:pt idx="77">
                  <c:v>9.5238095238095247E-3</c:v>
                </c:pt>
                <c:pt idx="78">
                  <c:v>1.0714285714285714E-2</c:v>
                </c:pt>
                <c:pt idx="79">
                  <c:v>1.1904761904761904E-2</c:v>
                </c:pt>
                <c:pt idx="80">
                  <c:v>1.3095238095238096E-2</c:v>
                </c:pt>
                <c:pt idx="81">
                  <c:v>1.4285714285714285E-2</c:v>
                </c:pt>
                <c:pt idx="82">
                  <c:v>1.5476190476190477E-2</c:v>
                </c:pt>
                <c:pt idx="83">
                  <c:v>1.6666666666666666E-2</c:v>
                </c:pt>
                <c:pt idx="84">
                  <c:v>1.7857142857142856E-2</c:v>
                </c:pt>
                <c:pt idx="85">
                  <c:v>1.9047619047619049E-2</c:v>
                </c:pt>
                <c:pt idx="86">
                  <c:v>2.0238095238095239E-2</c:v>
                </c:pt>
                <c:pt idx="87">
                  <c:v>2.1428571428571429E-2</c:v>
                </c:pt>
                <c:pt idx="88">
                  <c:v>2.3809523809523808E-2</c:v>
                </c:pt>
                <c:pt idx="89">
                  <c:v>2.6785714285714284E-2</c:v>
                </c:pt>
                <c:pt idx="90">
                  <c:v>2.976190476190476E-2</c:v>
                </c:pt>
                <c:pt idx="91">
                  <c:v>3.273809523809524E-2</c:v>
                </c:pt>
                <c:pt idx="92">
                  <c:v>3.5714285714285712E-2</c:v>
                </c:pt>
                <c:pt idx="93">
                  <c:v>3.8690476190476192E-2</c:v>
                </c:pt>
                <c:pt idx="94">
                  <c:v>4.1666666666666664E-2</c:v>
                </c:pt>
                <c:pt idx="95">
                  <c:v>4.4642857142857144E-2</c:v>
                </c:pt>
                <c:pt idx="96">
                  <c:v>4.7619047619047616E-2</c:v>
                </c:pt>
                <c:pt idx="97">
                  <c:v>5.3571428571428568E-2</c:v>
                </c:pt>
                <c:pt idx="98">
                  <c:v>5.9523809523809521E-2</c:v>
                </c:pt>
                <c:pt idx="99">
                  <c:v>6.5476190476190479E-2</c:v>
                </c:pt>
                <c:pt idx="100">
                  <c:v>7.1428571428571425E-2</c:v>
                </c:pt>
                <c:pt idx="101">
                  <c:v>7.7380952380952384E-2</c:v>
                </c:pt>
                <c:pt idx="102">
                  <c:v>8.3333333333333329E-2</c:v>
                </c:pt>
                <c:pt idx="103">
                  <c:v>9.5238095238095233E-2</c:v>
                </c:pt>
                <c:pt idx="104">
                  <c:v>0.10714285714285714</c:v>
                </c:pt>
                <c:pt idx="105">
                  <c:v>0.11904761904761904</c:v>
                </c:pt>
                <c:pt idx="106">
                  <c:v>0.13095238095238096</c:v>
                </c:pt>
                <c:pt idx="107">
                  <c:v>0.14285714285714285</c:v>
                </c:pt>
                <c:pt idx="108">
                  <c:v>0.15476190476190477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995-4BE7-A1D1-58C3354EF0C6}"/>
            </c:ext>
          </c:extLst>
        </c:ser>
        <c:ser>
          <c:idx val="5"/>
          <c:order val="4"/>
          <c:tx>
            <c:v>Eu10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'dbg31'!$P$6</c:f>
              <c:numCache>
                <c:formatCode>0.00</c:formatCode>
                <c:ptCount val="1"/>
                <c:pt idx="0">
                  <c:v>0.5</c:v>
                </c:pt>
              </c:numCache>
            </c:numRef>
          </c:xVal>
          <c:yVal>
            <c:numRef>
              <c:f>'dbg31'!$P$12</c:f>
              <c:numCache>
                <c:formatCode>0.000</c:formatCode>
                <c:ptCount val="1"/>
                <c:pt idx="0">
                  <c:v>0.5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995-4BE7-A1D1-58C3354EF0C6}"/>
            </c:ext>
          </c:extLst>
        </c:ser>
        <c:ser>
          <c:idx val="0"/>
          <c:order val="5"/>
          <c:tx>
            <c:v>dEu Goal</c:v>
          </c:tx>
          <c:spPr>
            <a:ln w="15875">
              <a:solidFill>
                <a:srgbClr val="FF0000"/>
              </a:solidFill>
            </a:ln>
          </c:spPr>
          <c:marker>
            <c:symbol val="circle"/>
            <c:size val="3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'dbg31'!$O$36:$O$37</c:f>
              <c:numCache>
                <c:formatCode>General</c:formatCode>
                <c:ptCount val="2"/>
                <c:pt idx="0" formatCode="0.00E+00">
                  <c:v>1.071427380952381E-5</c:v>
                </c:pt>
                <c:pt idx="1">
                  <c:v>1000</c:v>
                </c:pt>
              </c:numCache>
            </c:numRef>
          </c:xVal>
          <c:yVal>
            <c:numRef>
              <c:f>'dbg31'!$P$36:$P$37</c:f>
              <c:numCache>
                <c:formatCode>0.000_ ;[Red]\-0.000\ 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995-4BE7-A1D1-58C3354EF0C6}"/>
            </c:ext>
          </c:extLst>
        </c:ser>
        <c:ser>
          <c:idx val="6"/>
          <c:order val="6"/>
          <c:tx>
            <c:v>E20 stop</c:v>
          </c:tx>
          <c:spPr>
            <a:ln>
              <a:noFill/>
            </a:ln>
          </c:spPr>
          <c:marker>
            <c:symbol val="triangle"/>
            <c:size val="9"/>
            <c:spPr>
              <a:solidFill>
                <a:srgbClr val="0000FF"/>
              </a:solidFill>
              <a:ln>
                <a:noFill/>
              </a:ln>
            </c:spPr>
          </c:marker>
          <c:xVal>
            <c:numRef>
              <c:f>'dbg31'!$P$17</c:f>
              <c:numCache>
                <c:formatCode>0.0000</c:formatCode>
                <c:ptCount val="1"/>
                <c:pt idx="0">
                  <c:v>0.15724206349206349</c:v>
                </c:pt>
              </c:numCache>
            </c:numRef>
          </c:xVal>
          <c:yVal>
            <c:numRef>
              <c:f>'dbg31'!$P$18</c:f>
              <c:numCache>
                <c:formatCode>0.000_ </c:formatCode>
                <c:ptCount val="1"/>
                <c:pt idx="0">
                  <c:v>0.15724206349206349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995-4BE7-A1D1-58C3354EF0C6}"/>
            </c:ext>
          </c:extLst>
        </c:ser>
        <c:ser>
          <c:idx val="7"/>
          <c:order val="7"/>
          <c:tx>
            <c:v>dEu Found</c:v>
          </c:tx>
          <c:spPr>
            <a:ln>
              <a:noFill/>
            </a:ln>
          </c:spPr>
          <c:marker>
            <c:symbol val="x"/>
            <c:size val="10"/>
            <c:spPr>
              <a:noFill/>
              <a:ln w="19050">
                <a:solidFill>
                  <a:srgbClr val="FF00FF"/>
                </a:solidFill>
              </a:ln>
            </c:spPr>
          </c:marker>
          <c:xVal>
            <c:numRef>
              <c:f>'dbg31'!$E$22</c:f>
              <c:numCache>
                <c:formatCode>0.000</c:formatCode>
                <c:ptCount val="1"/>
                <c:pt idx="0">
                  <c:v>6.8385904761905048</c:v>
                </c:pt>
              </c:numCache>
            </c:numRef>
          </c:xVal>
          <c:yVal>
            <c:numRef>
              <c:f>'dbg31'!$K$22</c:f>
              <c:numCache>
                <c:formatCode>0.000_ </c:formatCode>
                <c:ptCount val="1"/>
                <c:pt idx="0">
                  <c:v>0.49873210236475529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995-4BE7-A1D1-58C3354EF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675384"/>
        <c:axId val="464682048"/>
      </c:scatterChart>
      <c:valAx>
        <c:axId val="464675384"/>
        <c:scaling>
          <c:logBase val="10"/>
          <c:orientation val="minMax"/>
          <c:min val="1.0000000000000002E-3"/>
        </c:scaling>
        <c:delete val="0"/>
        <c:axPos val="b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</c:majorGridlines>
        <c:minorGridlines>
          <c:spPr>
            <a:ln>
              <a:solidFill>
                <a:srgbClr val="CCECFF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800"/>
                </a:pPr>
                <a:r>
                  <a:rPr lang="en-US" sz="800"/>
                  <a:t>Eu10/20 [MeV/u]</a:t>
                </a:r>
                <a:endParaRPr lang="ja-JP" sz="800"/>
              </a:p>
            </c:rich>
          </c:tx>
          <c:layout>
            <c:manualLayout>
              <c:xMode val="edge"/>
              <c:yMode val="edge"/>
              <c:x val="0.74981805555555558"/>
              <c:y val="0.85634097222222216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cross"/>
        <c:minorTickMark val="in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4682048"/>
        <c:crosses val="autoZero"/>
        <c:crossBetween val="midCat"/>
      </c:valAx>
      <c:valAx>
        <c:axId val="464682048"/>
        <c:scaling>
          <c:logBase val="10"/>
          <c:orientation val="minMax"/>
          <c:min val="1.0000000000000002E-3"/>
        </c:scaling>
        <c:delete val="0"/>
        <c:axPos val="l"/>
        <c:majorGridlines>
          <c:spPr>
            <a:ln w="12700">
              <a:solidFill>
                <a:schemeClr val="tx2"/>
              </a:solidFill>
              <a:prstDash val="sysDash"/>
            </a:ln>
          </c:spPr>
        </c:majorGridlines>
        <c:min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800"/>
                </a:pPr>
                <a:r>
                  <a:rPr lang="en-US" sz="800"/>
                  <a:t>dEu1/2</a:t>
                </a:r>
                <a:r>
                  <a:rPr lang="en-US" sz="800" baseline="0"/>
                  <a:t> [MeV/u]</a:t>
                </a:r>
                <a:endParaRPr lang="ja-JP" sz="800"/>
              </a:p>
            </c:rich>
          </c:tx>
          <c:layout>
            <c:manualLayout>
              <c:xMode val="edge"/>
              <c:yMode val="edge"/>
              <c:x val="3.9508333333333331E-3"/>
              <c:y val="0.66553333333333331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cross"/>
        <c:minorTickMark val="out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464675384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3.1611111111111157E-4"/>
          <c:y val="0.87160231481481476"/>
          <c:w val="0.69982277777777779"/>
          <c:h val="0.12663379629629629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3175">
      <a:noFill/>
    </a:ln>
  </c:spPr>
  <c:txPr>
    <a:bodyPr/>
    <a:lstStyle/>
    <a:p>
      <a:pPr>
        <a:defRPr b="0" baseline="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en-US" sz="1000" b="1"/>
              <a:t>Eu</a:t>
            </a:r>
            <a:r>
              <a:rPr lang="en-US" sz="1000" b="1" baseline="0"/>
              <a:t> </a:t>
            </a:r>
            <a:r>
              <a:rPr lang="en-US" sz="1000" b="1"/>
              <a:t>dEu interpol </a:t>
            </a:r>
          </a:p>
        </c:rich>
      </c:tx>
      <c:layout>
        <c:manualLayout>
          <c:xMode val="edge"/>
          <c:yMode val="edge"/>
          <c:x val="1.2274999999999999E-2"/>
          <c:y val="1.1907499999999998E-2"/>
        </c:manualLayout>
      </c:layout>
      <c:overlay val="1"/>
      <c:spPr>
        <a:solidFill>
          <a:schemeClr val="bg1"/>
        </a:solidFill>
        <a:ln>
          <a:solidFill>
            <a:srgbClr val="00B05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8261805555555555"/>
          <c:y val="0.10230555555555555"/>
          <c:w val="0.76299548611111112"/>
          <c:h val="0.78033333333333332"/>
        </c:manualLayout>
      </c:layout>
      <c:scatterChart>
        <c:scatterStyle val="lineMarker"/>
        <c:varyColors val="0"/>
        <c:ser>
          <c:idx val="3"/>
          <c:order val="0"/>
          <c:tx>
            <c:v>tbl</c:v>
          </c:tx>
          <c:spPr>
            <a:ln w="12700">
              <a:solidFill>
                <a:srgbClr val="006600"/>
              </a:solidFill>
            </a:ln>
          </c:spPr>
          <c:marker>
            <c:symbol val="circle"/>
            <c:size val="5"/>
            <c:spPr>
              <a:noFill/>
              <a:ln>
                <a:solidFill>
                  <a:srgbClr val="006600"/>
                </a:solidFill>
              </a:ln>
            </c:spPr>
          </c:marker>
          <c:xVal>
            <c:numRef>
              <c:f>'dbg32'!$P$41:$P$45</c:f>
              <c:numCache>
                <c:formatCode>0.00_ </c:formatCode>
                <c:ptCount val="5"/>
                <c:pt idx="0">
                  <c:v>0.21428571428571427</c:v>
                </c:pt>
                <c:pt idx="1">
                  <c:v>0.23809523809523808</c:v>
                </c:pt>
                <c:pt idx="2">
                  <c:v>0.26785714285714285</c:v>
                </c:pt>
                <c:pt idx="3">
                  <c:v>0.29761904761904762</c:v>
                </c:pt>
                <c:pt idx="4">
                  <c:v>0.32738095238095238</c:v>
                </c:pt>
              </c:numCache>
            </c:numRef>
          </c:xVal>
          <c:yVal>
            <c:numRef>
              <c:f>'dbg32'!$T$41:$T$45</c:f>
              <c:numCache>
                <c:formatCode>0.0000_ </c:formatCode>
                <c:ptCount val="5"/>
                <c:pt idx="0">
                  <c:v>0.19384920634920633</c:v>
                </c:pt>
                <c:pt idx="1">
                  <c:v>0.20947802197802196</c:v>
                </c:pt>
                <c:pt idx="2">
                  <c:v>0.22808441558441558</c:v>
                </c:pt>
                <c:pt idx="3">
                  <c:v>0.24574829931972791</c:v>
                </c:pt>
                <c:pt idx="4">
                  <c:v>0.262531328320802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CBA-4BB6-B393-45ED39D96A6D}"/>
            </c:ext>
          </c:extLst>
        </c:ser>
        <c:ser>
          <c:idx val="0"/>
          <c:order val="1"/>
          <c:tx>
            <c:v>val</c:v>
          </c:tx>
          <c:spPr>
            <a:ln>
              <a:noFill/>
            </a:ln>
          </c:spPr>
          <c:marker>
            <c:symbol val="x"/>
            <c:size val="10"/>
            <c:spPr>
              <a:noFill/>
              <a:ln w="19050">
                <a:solidFill>
                  <a:srgbClr val="FF00FF"/>
                </a:solidFill>
              </a:ln>
            </c:spPr>
          </c:marker>
          <c:xVal>
            <c:numRef>
              <c:f>'dbg32'!$P$43</c:f>
              <c:numCache>
                <c:formatCode>0.00_ </c:formatCode>
                <c:ptCount val="1"/>
                <c:pt idx="0">
                  <c:v>0.26785714285714285</c:v>
                </c:pt>
              </c:numCache>
            </c:numRef>
          </c:xVal>
          <c:yVal>
            <c:numRef>
              <c:f>'dbg32'!$T$43</c:f>
              <c:numCache>
                <c:formatCode>0.0000_ </c:formatCode>
                <c:ptCount val="1"/>
                <c:pt idx="0">
                  <c:v>0.22808441558441558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CBA-4BB6-B393-45ED39D96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683616"/>
        <c:axId val="464677344"/>
      </c:scatterChart>
      <c:valAx>
        <c:axId val="46468361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</c:majorGridlines>
        <c:minorGridlines>
          <c:spPr>
            <a:ln>
              <a:solidFill>
                <a:srgbClr val="CCECFF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800"/>
                </a:pPr>
                <a:r>
                  <a:rPr lang="en-US" sz="800"/>
                  <a:t>Eu20 [MeV/A]</a:t>
                </a:r>
                <a:endParaRPr lang="ja-JP" sz="800"/>
              </a:p>
            </c:rich>
          </c:tx>
          <c:layout>
            <c:manualLayout>
              <c:xMode val="edge"/>
              <c:yMode val="edge"/>
              <c:x val="0.43411875"/>
              <c:y val="0.94214444444444434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cross"/>
        <c:minorTickMark val="in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4677344"/>
        <c:crosses val="autoZero"/>
        <c:crossBetween val="midCat"/>
      </c:valAx>
      <c:valAx>
        <c:axId val="464677344"/>
        <c:scaling>
          <c:orientation val="minMax"/>
        </c:scaling>
        <c:delete val="0"/>
        <c:axPos val="l"/>
        <c:majorGridlines>
          <c:spPr>
            <a:ln w="12700">
              <a:solidFill>
                <a:schemeClr val="tx2"/>
              </a:solidFill>
              <a:prstDash val="sysDash"/>
            </a:ln>
          </c:spPr>
        </c:majorGridlines>
        <c:min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800"/>
                </a:pPr>
                <a:r>
                  <a:rPr lang="en-US" sz="800"/>
                  <a:t>dEu2</a:t>
                </a:r>
                <a:r>
                  <a:rPr lang="en-US" sz="800" baseline="0"/>
                  <a:t> [MeV/u]</a:t>
                </a:r>
                <a:r>
                  <a:rPr lang="en-US" sz="800"/>
                  <a:t> </a:t>
                </a:r>
                <a:endParaRPr lang="ja-JP" sz="800"/>
              </a:p>
            </c:rich>
          </c:tx>
          <c:layout>
            <c:manualLayout>
              <c:xMode val="edge"/>
              <c:yMode val="edge"/>
              <c:x val="1.1006520033421825E-2"/>
              <c:y val="0.2626343001165013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cross"/>
        <c:minorTickMark val="out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464683616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</a:ln>
  </c:spPr>
  <c:txPr>
    <a:bodyPr/>
    <a:lstStyle/>
    <a:p>
      <a:pPr>
        <a:defRPr b="0" baseline="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n-US" sz="1000" b="1"/>
              <a:t>Eu</a:t>
            </a:r>
            <a:r>
              <a:rPr lang="en-US" sz="1000" b="1" baseline="0"/>
              <a:t> </a:t>
            </a:r>
            <a:r>
              <a:rPr lang="en-US" sz="1000" b="1"/>
              <a:t>dEt Table search</a:t>
            </a:r>
          </a:p>
        </c:rich>
      </c:tx>
      <c:layout>
        <c:manualLayout>
          <c:xMode val="edge"/>
          <c:yMode val="edge"/>
          <c:x val="1.3598055555555561E-2"/>
          <c:y val="5.4398148148148149E-3"/>
        </c:manualLayout>
      </c:layout>
      <c:overlay val="1"/>
      <c:spPr>
        <a:solidFill>
          <a:schemeClr val="bg1"/>
        </a:solidFill>
        <a:ln>
          <a:solidFill>
            <a:srgbClr val="00B05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1338527777777777"/>
          <c:y val="7.9375000000000001E-2"/>
          <c:w val="0.83222805555555557"/>
          <c:h val="0.73564814814814816"/>
        </c:manualLayout>
      </c:layout>
      <c:scatterChart>
        <c:scatterStyle val="lineMarker"/>
        <c:varyColors val="0"/>
        <c:ser>
          <c:idx val="2"/>
          <c:order val="0"/>
          <c:tx>
            <c:v>ws1 dEt1</c:v>
          </c:tx>
          <c:spPr>
            <a:ln w="12700">
              <a:solidFill>
                <a:srgbClr val="6600FF"/>
              </a:solidFill>
            </a:ln>
          </c:spPr>
          <c:marker>
            <c:symbol val="circle"/>
            <c:size val="3"/>
            <c:spPr>
              <a:noFill/>
              <a:ln>
                <a:solidFill>
                  <a:srgbClr val="6600FF"/>
                </a:solidFill>
              </a:ln>
            </c:spPr>
          </c:marker>
          <c:xVal>
            <c:numRef>
              <c:f>'dbg30'!$P$11:$P$219</c:f>
              <c:numCache>
                <c:formatCode>0.00000_ </c:formatCode>
                <c:ptCount val="209"/>
                <c:pt idx="0">
                  <c:v>9.9999750000000008E-6</c:v>
                </c:pt>
                <c:pt idx="1">
                  <c:v>1.1249975000000001E-5</c:v>
                </c:pt>
                <c:pt idx="2">
                  <c:v>1.2499975000000001E-5</c:v>
                </c:pt>
                <c:pt idx="3">
                  <c:v>1.3749975E-5</c:v>
                </c:pt>
                <c:pt idx="4">
                  <c:v>1.4999975E-5</c:v>
                </c:pt>
                <c:pt idx="5">
                  <c:v>1.6249975E-5</c:v>
                </c:pt>
                <c:pt idx="6">
                  <c:v>1.7499975E-5</c:v>
                </c:pt>
                <c:pt idx="7">
                  <c:v>1.9999975E-5</c:v>
                </c:pt>
                <c:pt idx="8">
                  <c:v>2.2499975000000003E-5</c:v>
                </c:pt>
                <c:pt idx="9">
                  <c:v>2.4999975000000003E-5</c:v>
                </c:pt>
                <c:pt idx="10">
                  <c:v>2.7500000000000001E-5</c:v>
                </c:pt>
                <c:pt idx="11">
                  <c:v>2.9999999999999997E-5</c:v>
                </c:pt>
                <c:pt idx="12">
                  <c:v>3.2499999999999997E-5</c:v>
                </c:pt>
                <c:pt idx="13">
                  <c:v>3.4999999999999997E-5</c:v>
                </c:pt>
                <c:pt idx="14">
                  <c:v>3.7500000000000003E-5</c:v>
                </c:pt>
                <c:pt idx="15">
                  <c:v>4.0000000000000003E-5</c:v>
                </c:pt>
                <c:pt idx="16">
                  <c:v>4.2499999999999996E-5</c:v>
                </c:pt>
                <c:pt idx="17">
                  <c:v>4.4999999999999996E-5</c:v>
                </c:pt>
                <c:pt idx="18">
                  <c:v>5.0000000000000002E-5</c:v>
                </c:pt>
                <c:pt idx="19">
                  <c:v>5.6249999999999998E-5</c:v>
                </c:pt>
                <c:pt idx="20">
                  <c:v>6.2500000000000001E-5</c:v>
                </c:pt>
                <c:pt idx="21">
                  <c:v>6.8749999999999991E-5</c:v>
                </c:pt>
                <c:pt idx="22">
                  <c:v>7.5000000000000007E-5</c:v>
                </c:pt>
                <c:pt idx="23">
                  <c:v>8.1249999999999996E-5</c:v>
                </c:pt>
                <c:pt idx="24">
                  <c:v>8.7499999999999999E-5</c:v>
                </c:pt>
                <c:pt idx="25">
                  <c:v>9.3750000000000002E-5</c:v>
                </c:pt>
                <c:pt idx="26">
                  <c:v>1E-4</c:v>
                </c:pt>
                <c:pt idx="27">
                  <c:v>1.125E-4</c:v>
                </c:pt>
                <c:pt idx="28">
                  <c:v>1.25E-4</c:v>
                </c:pt>
                <c:pt idx="29">
                  <c:v>1.3749999999999998E-4</c:v>
                </c:pt>
                <c:pt idx="30">
                  <c:v>1.5000000000000001E-4</c:v>
                </c:pt>
                <c:pt idx="31">
                  <c:v>1.6249999999999999E-4</c:v>
                </c:pt>
                <c:pt idx="32">
                  <c:v>1.75E-4</c:v>
                </c:pt>
                <c:pt idx="33">
                  <c:v>2.0000000000000001E-4</c:v>
                </c:pt>
                <c:pt idx="34">
                  <c:v>2.2499999999999999E-4</c:v>
                </c:pt>
                <c:pt idx="35">
                  <c:v>2.5000000000000001E-4</c:v>
                </c:pt>
                <c:pt idx="36">
                  <c:v>2.7499999999999996E-4</c:v>
                </c:pt>
                <c:pt idx="37">
                  <c:v>3.0000000000000003E-4</c:v>
                </c:pt>
                <c:pt idx="38">
                  <c:v>3.2499999999999999E-4</c:v>
                </c:pt>
                <c:pt idx="39">
                  <c:v>3.5E-4</c:v>
                </c:pt>
                <c:pt idx="40">
                  <c:v>3.7500000000000001E-4</c:v>
                </c:pt>
                <c:pt idx="41">
                  <c:v>4.0000000000000002E-4</c:v>
                </c:pt>
                <c:pt idx="42">
                  <c:v>4.2500000000000003E-4</c:v>
                </c:pt>
                <c:pt idx="43">
                  <c:v>4.4999999999999999E-4</c:v>
                </c:pt>
                <c:pt idx="44">
                  <c:v>5.0000000000000001E-4</c:v>
                </c:pt>
                <c:pt idx="45">
                  <c:v>5.6249999999999996E-4</c:v>
                </c:pt>
                <c:pt idx="46">
                  <c:v>6.2500000000000001E-4</c:v>
                </c:pt>
                <c:pt idx="47">
                  <c:v>6.8749999999999996E-4</c:v>
                </c:pt>
                <c:pt idx="48">
                  <c:v>7.5000000000000002E-4</c:v>
                </c:pt>
                <c:pt idx="49">
                  <c:v>8.1250000000000007E-4</c:v>
                </c:pt>
                <c:pt idx="50">
                  <c:v>8.7500000000000013E-4</c:v>
                </c:pt>
                <c:pt idx="51">
                  <c:v>9.3749999999999997E-4</c:v>
                </c:pt>
                <c:pt idx="52">
                  <c:v>1E-3</c:v>
                </c:pt>
                <c:pt idx="53">
                  <c:v>1.1249999999999999E-3</c:v>
                </c:pt>
                <c:pt idx="54">
                  <c:v>1.25E-3</c:v>
                </c:pt>
                <c:pt idx="55">
                  <c:v>1.3749999999999999E-3</c:v>
                </c:pt>
                <c:pt idx="56">
                  <c:v>1.5E-3</c:v>
                </c:pt>
                <c:pt idx="57">
                  <c:v>1.6250000000000001E-3</c:v>
                </c:pt>
                <c:pt idx="58">
                  <c:v>1.7500000000000003E-3</c:v>
                </c:pt>
                <c:pt idx="59">
                  <c:v>2E-3</c:v>
                </c:pt>
                <c:pt idx="60">
                  <c:v>2.2499999999999998E-3</c:v>
                </c:pt>
                <c:pt idx="61">
                  <c:v>2.5000000000000001E-3</c:v>
                </c:pt>
                <c:pt idx="62">
                  <c:v>2.7499999999999998E-3</c:v>
                </c:pt>
                <c:pt idx="63">
                  <c:v>3.0000000000000001E-3</c:v>
                </c:pt>
                <c:pt idx="64">
                  <c:v>3.2500000000000003E-3</c:v>
                </c:pt>
                <c:pt idx="65">
                  <c:v>3.5000000000000005E-3</c:v>
                </c:pt>
                <c:pt idx="66">
                  <c:v>3.7499999999999999E-3</c:v>
                </c:pt>
                <c:pt idx="67">
                  <c:v>4.0000000000000001E-3</c:v>
                </c:pt>
                <c:pt idx="68">
                  <c:v>4.2500000000000003E-3</c:v>
                </c:pt>
                <c:pt idx="69">
                  <c:v>4.4999999999999997E-3</c:v>
                </c:pt>
                <c:pt idx="70">
                  <c:v>5.0000000000000001E-3</c:v>
                </c:pt>
                <c:pt idx="71">
                  <c:v>5.6249999999999998E-3</c:v>
                </c:pt>
                <c:pt idx="72">
                  <c:v>6.2500000000000003E-3</c:v>
                </c:pt>
                <c:pt idx="73">
                  <c:v>6.8750000000000009E-3</c:v>
                </c:pt>
                <c:pt idx="74">
                  <c:v>7.4999999999999997E-3</c:v>
                </c:pt>
                <c:pt idx="75">
                  <c:v>8.1250000000000003E-3</c:v>
                </c:pt>
                <c:pt idx="76">
                  <c:v>8.7499999999999991E-3</c:v>
                </c:pt>
                <c:pt idx="77">
                  <c:v>9.3749999999999997E-3</c:v>
                </c:pt>
                <c:pt idx="78">
                  <c:v>0.01</c:v>
                </c:pt>
                <c:pt idx="79">
                  <c:v>1.125E-2</c:v>
                </c:pt>
                <c:pt idx="80">
                  <c:v>1.2500000000000001E-2</c:v>
                </c:pt>
                <c:pt idx="81">
                  <c:v>1.3750000000000002E-2</c:v>
                </c:pt>
                <c:pt idx="82">
                  <c:v>1.4999999999999999E-2</c:v>
                </c:pt>
                <c:pt idx="83">
                  <c:v>1.6250000000000001E-2</c:v>
                </c:pt>
                <c:pt idx="84">
                  <c:v>1.7499999999999998E-2</c:v>
                </c:pt>
                <c:pt idx="85">
                  <c:v>0.02</c:v>
                </c:pt>
                <c:pt idx="86">
                  <c:v>2.2499999999999999E-2</c:v>
                </c:pt>
                <c:pt idx="87">
                  <c:v>2.5000000000000001E-2</c:v>
                </c:pt>
                <c:pt idx="88">
                  <c:v>2.7500000000000004E-2</c:v>
                </c:pt>
                <c:pt idx="89">
                  <c:v>0.03</c:v>
                </c:pt>
                <c:pt idx="90">
                  <c:v>3.2500000000000001E-2</c:v>
                </c:pt>
                <c:pt idx="91">
                  <c:v>3.4999999999999996E-2</c:v>
                </c:pt>
                <c:pt idx="92">
                  <c:v>3.7499999999999999E-2</c:v>
                </c:pt>
                <c:pt idx="93">
                  <c:v>0.04</c:v>
                </c:pt>
                <c:pt idx="94">
                  <c:v>4.2499999999999996E-2</c:v>
                </c:pt>
                <c:pt idx="95">
                  <c:v>4.4999999999999998E-2</c:v>
                </c:pt>
                <c:pt idx="96">
                  <c:v>0.05</c:v>
                </c:pt>
                <c:pt idx="97">
                  <c:v>5.6250000000000001E-2</c:v>
                </c:pt>
                <c:pt idx="98">
                  <c:v>6.25E-2</c:v>
                </c:pt>
                <c:pt idx="99">
                  <c:v>6.8750000000000006E-2</c:v>
                </c:pt>
                <c:pt idx="100">
                  <c:v>7.4999999999999997E-2</c:v>
                </c:pt>
                <c:pt idx="101">
                  <c:v>8.1250000000000003E-2</c:v>
                </c:pt>
                <c:pt idx="102">
                  <c:v>8.7499999999999994E-2</c:v>
                </c:pt>
                <c:pt idx="103">
                  <c:v>9.375E-2</c:v>
                </c:pt>
                <c:pt idx="104">
                  <c:v>0.1</c:v>
                </c:pt>
                <c:pt idx="105">
                  <c:v>0.1125</c:v>
                </c:pt>
                <c:pt idx="106">
                  <c:v>0.125</c:v>
                </c:pt>
                <c:pt idx="107">
                  <c:v>0.13750000000000001</c:v>
                </c:pt>
                <c:pt idx="108">
                  <c:v>0.15</c:v>
                </c:pt>
                <c:pt idx="109">
                  <c:v>0.16250000000000001</c:v>
                </c:pt>
                <c:pt idx="110">
                  <c:v>0.17499999999999999</c:v>
                </c:pt>
                <c:pt idx="111">
                  <c:v>0.2</c:v>
                </c:pt>
                <c:pt idx="112">
                  <c:v>0.22500000000000001</c:v>
                </c:pt>
                <c:pt idx="113">
                  <c:v>0.25</c:v>
                </c:pt>
                <c:pt idx="114">
                  <c:v>0.27500000000000002</c:v>
                </c:pt>
                <c:pt idx="115">
                  <c:v>0.3</c:v>
                </c:pt>
                <c:pt idx="116">
                  <c:v>0.32500000000000001</c:v>
                </c:pt>
                <c:pt idx="117">
                  <c:v>0.35</c:v>
                </c:pt>
                <c:pt idx="118">
                  <c:v>0.375</c:v>
                </c:pt>
                <c:pt idx="119">
                  <c:v>0.4</c:v>
                </c:pt>
                <c:pt idx="120">
                  <c:v>0.42499999999999999</c:v>
                </c:pt>
                <c:pt idx="121">
                  <c:v>0.45</c:v>
                </c:pt>
                <c:pt idx="122">
                  <c:v>0.5</c:v>
                </c:pt>
                <c:pt idx="123">
                  <c:v>0.5625</c:v>
                </c:pt>
                <c:pt idx="124">
                  <c:v>0.625</c:v>
                </c:pt>
                <c:pt idx="125">
                  <c:v>0.6875</c:v>
                </c:pt>
                <c:pt idx="126">
                  <c:v>0.75</c:v>
                </c:pt>
                <c:pt idx="127">
                  <c:v>0.8125</c:v>
                </c:pt>
                <c:pt idx="128">
                  <c:v>0.875</c:v>
                </c:pt>
                <c:pt idx="129">
                  <c:v>0.9375</c:v>
                </c:pt>
                <c:pt idx="130" formatCode="0.000_ ">
                  <c:v>1</c:v>
                </c:pt>
                <c:pt idx="131" formatCode="0.000_ ">
                  <c:v>1.125</c:v>
                </c:pt>
                <c:pt idx="132" formatCode="0.000_ ">
                  <c:v>1.25</c:v>
                </c:pt>
                <c:pt idx="133" formatCode="0.000_ ">
                  <c:v>1.375</c:v>
                </c:pt>
                <c:pt idx="134" formatCode="0.000_ ">
                  <c:v>1.5</c:v>
                </c:pt>
                <c:pt idx="135" formatCode="0.000_ ">
                  <c:v>1.625</c:v>
                </c:pt>
                <c:pt idx="136" formatCode="0.000_ ">
                  <c:v>1.75</c:v>
                </c:pt>
                <c:pt idx="137" formatCode="0.000_ ">
                  <c:v>2</c:v>
                </c:pt>
                <c:pt idx="138" formatCode="0.000_ ">
                  <c:v>2.25</c:v>
                </c:pt>
                <c:pt idx="139" formatCode="0.000_ ">
                  <c:v>2.5</c:v>
                </c:pt>
                <c:pt idx="140" formatCode="0.000_ ">
                  <c:v>2.75</c:v>
                </c:pt>
                <c:pt idx="141" formatCode="0.000_ ">
                  <c:v>3</c:v>
                </c:pt>
                <c:pt idx="142" formatCode="0.000_ ">
                  <c:v>3.25</c:v>
                </c:pt>
                <c:pt idx="143" formatCode="0.000_ ">
                  <c:v>3.5</c:v>
                </c:pt>
                <c:pt idx="144" formatCode="0.000_ ">
                  <c:v>3.75</c:v>
                </c:pt>
                <c:pt idx="145" formatCode="0.000_ ">
                  <c:v>4</c:v>
                </c:pt>
                <c:pt idx="146" formatCode="0.000_ ">
                  <c:v>4.25</c:v>
                </c:pt>
                <c:pt idx="147" formatCode="0.000_ ">
                  <c:v>4.5</c:v>
                </c:pt>
                <c:pt idx="148" formatCode="0.000_ ">
                  <c:v>5</c:v>
                </c:pt>
                <c:pt idx="149" formatCode="0.000_ ">
                  <c:v>5.625</c:v>
                </c:pt>
                <c:pt idx="150" formatCode="0.000_ ">
                  <c:v>6.25</c:v>
                </c:pt>
                <c:pt idx="151" formatCode="0.000_ ">
                  <c:v>6.875</c:v>
                </c:pt>
                <c:pt idx="152" formatCode="0.000_ ">
                  <c:v>7.5</c:v>
                </c:pt>
                <c:pt idx="153" formatCode="0.000_ ">
                  <c:v>8.125</c:v>
                </c:pt>
                <c:pt idx="154" formatCode="0.000_ ">
                  <c:v>8.75</c:v>
                </c:pt>
                <c:pt idx="155" formatCode="0.000_ ">
                  <c:v>9.375</c:v>
                </c:pt>
                <c:pt idx="156" formatCode="0.000_ ">
                  <c:v>10</c:v>
                </c:pt>
                <c:pt idx="157" formatCode="0.000_ ">
                  <c:v>11.25</c:v>
                </c:pt>
                <c:pt idx="158" formatCode="0.000_ ">
                  <c:v>12.5</c:v>
                </c:pt>
                <c:pt idx="159" formatCode="0.000_ ">
                  <c:v>13.75</c:v>
                </c:pt>
                <c:pt idx="160" formatCode="0.000_ ">
                  <c:v>15</c:v>
                </c:pt>
                <c:pt idx="161" formatCode="0.000_ ">
                  <c:v>16.25</c:v>
                </c:pt>
                <c:pt idx="162" formatCode="0.000_ ">
                  <c:v>17.5</c:v>
                </c:pt>
                <c:pt idx="163" formatCode="0.000_ ">
                  <c:v>20</c:v>
                </c:pt>
                <c:pt idx="164" formatCode="0.000_ ">
                  <c:v>22.5</c:v>
                </c:pt>
                <c:pt idx="165" formatCode="0.000_ ">
                  <c:v>25</c:v>
                </c:pt>
                <c:pt idx="166" formatCode="0.000_ ">
                  <c:v>27.5</c:v>
                </c:pt>
                <c:pt idx="167" formatCode="0.000_ ">
                  <c:v>30</c:v>
                </c:pt>
                <c:pt idx="168" formatCode="0.000_ ">
                  <c:v>32.5</c:v>
                </c:pt>
                <c:pt idx="169" formatCode="0.000_ ">
                  <c:v>35</c:v>
                </c:pt>
                <c:pt idx="170" formatCode="0.000_ ">
                  <c:v>37.5</c:v>
                </c:pt>
                <c:pt idx="171" formatCode="0.000_ ">
                  <c:v>40</c:v>
                </c:pt>
                <c:pt idx="172" formatCode="0.000_ ">
                  <c:v>42.5</c:v>
                </c:pt>
                <c:pt idx="173" formatCode="0.000_ ">
                  <c:v>45</c:v>
                </c:pt>
                <c:pt idx="174" formatCode="0.000_ ">
                  <c:v>50</c:v>
                </c:pt>
                <c:pt idx="175" formatCode="0.000_ ">
                  <c:v>56.25</c:v>
                </c:pt>
                <c:pt idx="176" formatCode="0.000_ ">
                  <c:v>62.5</c:v>
                </c:pt>
                <c:pt idx="177" formatCode="0.000_ ">
                  <c:v>68.75</c:v>
                </c:pt>
                <c:pt idx="178" formatCode="0.000_ ">
                  <c:v>75</c:v>
                </c:pt>
                <c:pt idx="179" formatCode="0.000_ ">
                  <c:v>81.25</c:v>
                </c:pt>
                <c:pt idx="180" formatCode="0.000_ ">
                  <c:v>87.5</c:v>
                </c:pt>
                <c:pt idx="181" formatCode="0.000_ ">
                  <c:v>93.75</c:v>
                </c:pt>
                <c:pt idx="182" formatCode="0.00_ ">
                  <c:v>100</c:v>
                </c:pt>
                <c:pt idx="183" formatCode="0.00_ ">
                  <c:v>112.5</c:v>
                </c:pt>
                <c:pt idx="184" formatCode="0.00_ ">
                  <c:v>125</c:v>
                </c:pt>
                <c:pt idx="185" formatCode="0.00_ ">
                  <c:v>137.5</c:v>
                </c:pt>
                <c:pt idx="186" formatCode="0.00_ ">
                  <c:v>150</c:v>
                </c:pt>
                <c:pt idx="187" formatCode="0.00_ ">
                  <c:v>162.5</c:v>
                </c:pt>
                <c:pt idx="188" formatCode="0.00_ ">
                  <c:v>175</c:v>
                </c:pt>
                <c:pt idx="189" formatCode="0.00_ ">
                  <c:v>200</c:v>
                </c:pt>
                <c:pt idx="190" formatCode="0.00_ ">
                  <c:v>225</c:v>
                </c:pt>
                <c:pt idx="191" formatCode="0.00_ ">
                  <c:v>250</c:v>
                </c:pt>
                <c:pt idx="192" formatCode="0.00_ ">
                  <c:v>275</c:v>
                </c:pt>
                <c:pt idx="193" formatCode="0.00_ ">
                  <c:v>300</c:v>
                </c:pt>
                <c:pt idx="194" formatCode="0.00_ ">
                  <c:v>325</c:v>
                </c:pt>
                <c:pt idx="195" formatCode="0.00_ ">
                  <c:v>350</c:v>
                </c:pt>
                <c:pt idx="196" formatCode="0.00_ ">
                  <c:v>375</c:v>
                </c:pt>
                <c:pt idx="197" formatCode="0.00_ ">
                  <c:v>400</c:v>
                </c:pt>
                <c:pt idx="198" formatCode="0.00_ ">
                  <c:v>425</c:v>
                </c:pt>
                <c:pt idx="199" formatCode="0.00_ ">
                  <c:v>450</c:v>
                </c:pt>
                <c:pt idx="200" formatCode="0.00_ ">
                  <c:v>500</c:v>
                </c:pt>
                <c:pt idx="201" formatCode="0.00_ ">
                  <c:v>562.5</c:v>
                </c:pt>
                <c:pt idx="202" formatCode="0.00_ ">
                  <c:v>625</c:v>
                </c:pt>
                <c:pt idx="203" formatCode="0.00_ ">
                  <c:v>687.5</c:v>
                </c:pt>
                <c:pt idx="204" formatCode="0.00_ ">
                  <c:v>750</c:v>
                </c:pt>
                <c:pt idx="205" formatCode="0.00_ ">
                  <c:v>812.5</c:v>
                </c:pt>
                <c:pt idx="206" formatCode="0.00_ ">
                  <c:v>875</c:v>
                </c:pt>
                <c:pt idx="207" formatCode="0.00_ ">
                  <c:v>937.5</c:v>
                </c:pt>
                <c:pt idx="208" formatCode="0.00_ ">
                  <c:v>1000</c:v>
                </c:pt>
              </c:numCache>
            </c:numRef>
          </c:xVal>
          <c:yVal>
            <c:numRef>
              <c:f>'dbg30'!$V$11:$V$219</c:f>
              <c:numCache>
                <c:formatCode>0.000_ </c:formatCode>
                <c:ptCount val="20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49.213538461538462</c:v>
                </c:pt>
                <c:pt idx="133">
                  <c:v>53.020037105751392</c:v>
                </c:pt>
                <c:pt idx="134">
                  <c:v>56.567727272727275</c:v>
                </c:pt>
                <c:pt idx="135">
                  <c:v>59.777777777777779</c:v>
                </c:pt>
                <c:pt idx="136">
                  <c:v>62.533333333333331</c:v>
                </c:pt>
                <c:pt idx="137">
                  <c:v>66.7</c:v>
                </c:pt>
                <c:pt idx="138">
                  <c:v>68.928571428571416</c:v>
                </c:pt>
                <c:pt idx="139">
                  <c:v>69.73684210526315</c:v>
                </c:pt>
                <c:pt idx="140">
                  <c:v>69.583333333333329</c:v>
                </c:pt>
                <c:pt idx="141">
                  <c:v>69.285714285714278</c:v>
                </c:pt>
                <c:pt idx="142">
                  <c:v>68.428571428571431</c:v>
                </c:pt>
                <c:pt idx="143">
                  <c:v>67.464788732394368</c:v>
                </c:pt>
                <c:pt idx="144">
                  <c:v>66.527777777777786</c:v>
                </c:pt>
                <c:pt idx="145">
                  <c:v>65.61643835616438</c:v>
                </c:pt>
                <c:pt idx="146">
                  <c:v>64.594594594594597</c:v>
                </c:pt>
                <c:pt idx="147">
                  <c:v>63.648648648648667</c:v>
                </c:pt>
                <c:pt idx="148">
                  <c:v>61.79487179487181</c:v>
                </c:pt>
                <c:pt idx="149">
                  <c:v>59.691358024691361</c:v>
                </c:pt>
                <c:pt idx="150">
                  <c:v>57.784431137724539</c:v>
                </c:pt>
                <c:pt idx="151">
                  <c:v>56.074766355140184</c:v>
                </c:pt>
                <c:pt idx="152">
                  <c:v>54.411764705882355</c:v>
                </c:pt>
                <c:pt idx="153">
                  <c:v>52.973568281938306</c:v>
                </c:pt>
                <c:pt idx="154">
                  <c:v>51.602564102564088</c:v>
                </c:pt>
                <c:pt idx="155">
                  <c:v>50.209205020920464</c:v>
                </c:pt>
                <c:pt idx="156">
                  <c:v>49.00793650793652</c:v>
                </c:pt>
                <c:pt idx="157">
                  <c:v>46.728971962616797</c:v>
                </c:pt>
                <c:pt idx="158">
                  <c:v>44.563279857397475</c:v>
                </c:pt>
                <c:pt idx="159">
                  <c:v>42.517006802721085</c:v>
                </c:pt>
                <c:pt idx="160">
                  <c:v>40.716612377850154</c:v>
                </c:pt>
                <c:pt idx="161">
                  <c:v>39.001560062402518</c:v>
                </c:pt>
                <c:pt idx="162">
                  <c:v>37.313432835820919</c:v>
                </c:pt>
                <c:pt idx="163">
                  <c:v>35.137034434293781</c:v>
                </c:pt>
                <c:pt idx="164">
                  <c:v>32.57328990228018</c:v>
                </c:pt>
                <c:pt idx="165">
                  <c:v>30.432136335970768</c:v>
                </c:pt>
                <c:pt idx="166">
                  <c:v>28.63688430698744</c:v>
                </c:pt>
                <c:pt idx="167">
                  <c:v>27.218290691344578</c:v>
                </c:pt>
                <c:pt idx="168">
                  <c:v>25.933609958506167</c:v>
                </c:pt>
                <c:pt idx="169">
                  <c:v>24.691358024691397</c:v>
                </c:pt>
                <c:pt idx="170">
                  <c:v>23.573785950023591</c:v>
                </c:pt>
                <c:pt idx="171">
                  <c:v>22.573363431151279</c:v>
                </c:pt>
                <c:pt idx="172">
                  <c:v>21.673168617251974</c:v>
                </c:pt>
                <c:pt idx="173">
                  <c:v>20.859407592824368</c:v>
                </c:pt>
                <c:pt idx="174">
                  <c:v>19.739439399920968</c:v>
                </c:pt>
                <c:pt idx="175">
                  <c:v>18.274853801169684</c:v>
                </c:pt>
                <c:pt idx="176">
                  <c:v>16.896458502297946</c:v>
                </c:pt>
                <c:pt idx="177">
                  <c:v>15.749023560539399</c:v>
                </c:pt>
                <c:pt idx="178">
                  <c:v>14.775413711583951</c:v>
                </c:pt>
                <c:pt idx="179">
                  <c:v>13.938447814451251</c:v>
                </c:pt>
                <c:pt idx="180">
                  <c:v>13.212134023887643</c:v>
                </c:pt>
                <c:pt idx="181">
                  <c:v>12.574187707473925</c:v>
                </c:pt>
                <c:pt idx="182">
                  <c:v>11.812511812511843</c:v>
                </c:pt>
                <c:pt idx="183">
                  <c:v>11.36363636363626</c:v>
                </c:pt>
                <c:pt idx="184">
                  <c:v>10.416666666666856</c:v>
                </c:pt>
                <c:pt idx="185">
                  <c:v>10</c:v>
                </c:pt>
                <c:pt idx="186">
                  <c:v>8.9285714285711038</c:v>
                </c:pt>
                <c:pt idx="187">
                  <c:v>8.9285714285711038</c:v>
                </c:pt>
                <c:pt idx="188">
                  <c:v>8.3333333333337123</c:v>
                </c:pt>
                <c:pt idx="189">
                  <c:v>7.8125</c:v>
                </c:pt>
                <c:pt idx="190">
                  <c:v>7.246376811593791</c:v>
                </c:pt>
                <c:pt idx="191">
                  <c:v>6.7567567567562037</c:v>
                </c:pt>
                <c:pt idx="192">
                  <c:v>6.410256410256352</c:v>
                </c:pt>
                <c:pt idx="193">
                  <c:v>6.0240963855426344</c:v>
                </c:pt>
                <c:pt idx="194">
                  <c:v>5.8823529411756681</c:v>
                </c:pt>
                <c:pt idx="195">
                  <c:v>5.6179775280907052</c:v>
                </c:pt>
                <c:pt idx="196">
                  <c:v>5.3763440860211631</c:v>
                </c:pt>
                <c:pt idx="197">
                  <c:v>5.2631578947375601</c:v>
                </c:pt>
                <c:pt idx="198">
                  <c:v>5.1020408163276443</c:v>
                </c:pt>
                <c:pt idx="199">
                  <c:v>5</c:v>
                </c:pt>
                <c:pt idx="200">
                  <c:v>4.8076923076928324</c:v>
                </c:pt>
                <c:pt idx="201">
                  <c:v>4.5955882352927802</c:v>
                </c:pt>
                <c:pt idx="202">
                  <c:v>4.4326241134740485</c:v>
                </c:pt>
                <c:pt idx="203">
                  <c:v>4.2808219178095896</c:v>
                </c:pt>
                <c:pt idx="204">
                  <c:v>4.1666666666651508</c:v>
                </c:pt>
                <c:pt idx="205">
                  <c:v>4.0849673202592385</c:v>
                </c:pt>
                <c:pt idx="206">
                  <c:v>3.9936102236424631</c:v>
                </c:pt>
                <c:pt idx="207">
                  <c:v>3.9432176656146112</c:v>
                </c:pt>
                <c:pt idx="208">
                  <c:v>3.8819875776380286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7B5-47B7-A394-65373099B632}"/>
            </c:ext>
          </c:extLst>
        </c:ser>
        <c:ser>
          <c:idx val="1"/>
          <c:order val="1"/>
          <c:tx>
            <c:v>ws1 dEt1 stop</c:v>
          </c:tx>
          <c:spPr>
            <a:ln w="12700">
              <a:solidFill>
                <a:srgbClr val="CC66FF"/>
              </a:solidFill>
            </a:ln>
          </c:spPr>
          <c:marker>
            <c:symbol val="circle"/>
            <c:size val="2"/>
            <c:spPr>
              <a:solidFill>
                <a:srgbClr val="CC66FF"/>
              </a:solidFill>
              <a:ln>
                <a:noFill/>
              </a:ln>
            </c:spPr>
          </c:marker>
          <c:xVal>
            <c:numRef>
              <c:f>'dbg30'!$P$11:$P$219</c:f>
              <c:numCache>
                <c:formatCode>0.00000_ </c:formatCode>
                <c:ptCount val="209"/>
                <c:pt idx="0">
                  <c:v>9.9999750000000008E-6</c:v>
                </c:pt>
                <c:pt idx="1">
                  <c:v>1.1249975000000001E-5</c:v>
                </c:pt>
                <c:pt idx="2">
                  <c:v>1.2499975000000001E-5</c:v>
                </c:pt>
                <c:pt idx="3">
                  <c:v>1.3749975E-5</c:v>
                </c:pt>
                <c:pt idx="4">
                  <c:v>1.4999975E-5</c:v>
                </c:pt>
                <c:pt idx="5">
                  <c:v>1.6249975E-5</c:v>
                </c:pt>
                <c:pt idx="6">
                  <c:v>1.7499975E-5</c:v>
                </c:pt>
                <c:pt idx="7">
                  <c:v>1.9999975E-5</c:v>
                </c:pt>
                <c:pt idx="8">
                  <c:v>2.2499975000000003E-5</c:v>
                </c:pt>
                <c:pt idx="9">
                  <c:v>2.4999975000000003E-5</c:v>
                </c:pt>
                <c:pt idx="10">
                  <c:v>2.7500000000000001E-5</c:v>
                </c:pt>
                <c:pt idx="11">
                  <c:v>2.9999999999999997E-5</c:v>
                </c:pt>
                <c:pt idx="12">
                  <c:v>3.2499999999999997E-5</c:v>
                </c:pt>
                <c:pt idx="13">
                  <c:v>3.4999999999999997E-5</c:v>
                </c:pt>
                <c:pt idx="14">
                  <c:v>3.7500000000000003E-5</c:v>
                </c:pt>
                <c:pt idx="15">
                  <c:v>4.0000000000000003E-5</c:v>
                </c:pt>
                <c:pt idx="16">
                  <c:v>4.2499999999999996E-5</c:v>
                </c:pt>
                <c:pt idx="17">
                  <c:v>4.4999999999999996E-5</c:v>
                </c:pt>
                <c:pt idx="18">
                  <c:v>5.0000000000000002E-5</c:v>
                </c:pt>
                <c:pt idx="19">
                  <c:v>5.6249999999999998E-5</c:v>
                </c:pt>
                <c:pt idx="20">
                  <c:v>6.2500000000000001E-5</c:v>
                </c:pt>
                <c:pt idx="21">
                  <c:v>6.8749999999999991E-5</c:v>
                </c:pt>
                <c:pt idx="22">
                  <c:v>7.5000000000000007E-5</c:v>
                </c:pt>
                <c:pt idx="23">
                  <c:v>8.1249999999999996E-5</c:v>
                </c:pt>
                <c:pt idx="24">
                  <c:v>8.7499999999999999E-5</c:v>
                </c:pt>
                <c:pt idx="25">
                  <c:v>9.3750000000000002E-5</c:v>
                </c:pt>
                <c:pt idx="26">
                  <c:v>1E-4</c:v>
                </c:pt>
                <c:pt idx="27">
                  <c:v>1.125E-4</c:v>
                </c:pt>
                <c:pt idx="28">
                  <c:v>1.25E-4</c:v>
                </c:pt>
                <c:pt idx="29">
                  <c:v>1.3749999999999998E-4</c:v>
                </c:pt>
                <c:pt idx="30">
                  <c:v>1.5000000000000001E-4</c:v>
                </c:pt>
                <c:pt idx="31">
                  <c:v>1.6249999999999999E-4</c:v>
                </c:pt>
                <c:pt idx="32">
                  <c:v>1.75E-4</c:v>
                </c:pt>
                <c:pt idx="33">
                  <c:v>2.0000000000000001E-4</c:v>
                </c:pt>
                <c:pt idx="34">
                  <c:v>2.2499999999999999E-4</c:v>
                </c:pt>
                <c:pt idx="35">
                  <c:v>2.5000000000000001E-4</c:v>
                </c:pt>
                <c:pt idx="36">
                  <c:v>2.7499999999999996E-4</c:v>
                </c:pt>
                <c:pt idx="37">
                  <c:v>3.0000000000000003E-4</c:v>
                </c:pt>
                <c:pt idx="38">
                  <c:v>3.2499999999999999E-4</c:v>
                </c:pt>
                <c:pt idx="39">
                  <c:v>3.5E-4</c:v>
                </c:pt>
                <c:pt idx="40">
                  <c:v>3.7500000000000001E-4</c:v>
                </c:pt>
                <c:pt idx="41">
                  <c:v>4.0000000000000002E-4</c:v>
                </c:pt>
                <c:pt idx="42">
                  <c:v>4.2500000000000003E-4</c:v>
                </c:pt>
                <c:pt idx="43">
                  <c:v>4.4999999999999999E-4</c:v>
                </c:pt>
                <c:pt idx="44">
                  <c:v>5.0000000000000001E-4</c:v>
                </c:pt>
                <c:pt idx="45">
                  <c:v>5.6249999999999996E-4</c:v>
                </c:pt>
                <c:pt idx="46">
                  <c:v>6.2500000000000001E-4</c:v>
                </c:pt>
                <c:pt idx="47">
                  <c:v>6.8749999999999996E-4</c:v>
                </c:pt>
                <c:pt idx="48">
                  <c:v>7.5000000000000002E-4</c:v>
                </c:pt>
                <c:pt idx="49">
                  <c:v>8.1250000000000007E-4</c:v>
                </c:pt>
                <c:pt idx="50">
                  <c:v>8.7500000000000013E-4</c:v>
                </c:pt>
                <c:pt idx="51">
                  <c:v>9.3749999999999997E-4</c:v>
                </c:pt>
                <c:pt idx="52">
                  <c:v>1E-3</c:v>
                </c:pt>
                <c:pt idx="53">
                  <c:v>1.1249999999999999E-3</c:v>
                </c:pt>
                <c:pt idx="54">
                  <c:v>1.25E-3</c:v>
                </c:pt>
                <c:pt idx="55">
                  <c:v>1.3749999999999999E-3</c:v>
                </c:pt>
                <c:pt idx="56">
                  <c:v>1.5E-3</c:v>
                </c:pt>
                <c:pt idx="57">
                  <c:v>1.6250000000000001E-3</c:v>
                </c:pt>
                <c:pt idx="58">
                  <c:v>1.7500000000000003E-3</c:v>
                </c:pt>
                <c:pt idx="59">
                  <c:v>2E-3</c:v>
                </c:pt>
                <c:pt idx="60">
                  <c:v>2.2499999999999998E-3</c:v>
                </c:pt>
                <c:pt idx="61">
                  <c:v>2.5000000000000001E-3</c:v>
                </c:pt>
                <c:pt idx="62">
                  <c:v>2.7499999999999998E-3</c:v>
                </c:pt>
                <c:pt idx="63">
                  <c:v>3.0000000000000001E-3</c:v>
                </c:pt>
                <c:pt idx="64">
                  <c:v>3.2500000000000003E-3</c:v>
                </c:pt>
                <c:pt idx="65">
                  <c:v>3.5000000000000005E-3</c:v>
                </c:pt>
                <c:pt idx="66">
                  <c:v>3.7499999999999999E-3</c:v>
                </c:pt>
                <c:pt idx="67">
                  <c:v>4.0000000000000001E-3</c:v>
                </c:pt>
                <c:pt idx="68">
                  <c:v>4.2500000000000003E-3</c:v>
                </c:pt>
                <c:pt idx="69">
                  <c:v>4.4999999999999997E-3</c:v>
                </c:pt>
                <c:pt idx="70">
                  <c:v>5.0000000000000001E-3</c:v>
                </c:pt>
                <c:pt idx="71">
                  <c:v>5.6249999999999998E-3</c:v>
                </c:pt>
                <c:pt idx="72">
                  <c:v>6.2500000000000003E-3</c:v>
                </c:pt>
                <c:pt idx="73">
                  <c:v>6.8750000000000009E-3</c:v>
                </c:pt>
                <c:pt idx="74">
                  <c:v>7.4999999999999997E-3</c:v>
                </c:pt>
                <c:pt idx="75">
                  <c:v>8.1250000000000003E-3</c:v>
                </c:pt>
                <c:pt idx="76">
                  <c:v>8.7499999999999991E-3</c:v>
                </c:pt>
                <c:pt idx="77">
                  <c:v>9.3749999999999997E-3</c:v>
                </c:pt>
                <c:pt idx="78">
                  <c:v>0.01</c:v>
                </c:pt>
                <c:pt idx="79">
                  <c:v>1.125E-2</c:v>
                </c:pt>
                <c:pt idx="80">
                  <c:v>1.2500000000000001E-2</c:v>
                </c:pt>
                <c:pt idx="81">
                  <c:v>1.3750000000000002E-2</c:v>
                </c:pt>
                <c:pt idx="82">
                  <c:v>1.4999999999999999E-2</c:v>
                </c:pt>
                <c:pt idx="83">
                  <c:v>1.6250000000000001E-2</c:v>
                </c:pt>
                <c:pt idx="84">
                  <c:v>1.7499999999999998E-2</c:v>
                </c:pt>
                <c:pt idx="85">
                  <c:v>0.02</c:v>
                </c:pt>
                <c:pt idx="86">
                  <c:v>2.2499999999999999E-2</c:v>
                </c:pt>
                <c:pt idx="87">
                  <c:v>2.5000000000000001E-2</c:v>
                </c:pt>
                <c:pt idx="88">
                  <c:v>2.7500000000000004E-2</c:v>
                </c:pt>
                <c:pt idx="89">
                  <c:v>0.03</c:v>
                </c:pt>
                <c:pt idx="90">
                  <c:v>3.2500000000000001E-2</c:v>
                </c:pt>
                <c:pt idx="91">
                  <c:v>3.4999999999999996E-2</c:v>
                </c:pt>
                <c:pt idx="92">
                  <c:v>3.7499999999999999E-2</c:v>
                </c:pt>
                <c:pt idx="93">
                  <c:v>0.04</c:v>
                </c:pt>
                <c:pt idx="94">
                  <c:v>4.2499999999999996E-2</c:v>
                </c:pt>
                <c:pt idx="95">
                  <c:v>4.4999999999999998E-2</c:v>
                </c:pt>
                <c:pt idx="96">
                  <c:v>0.05</c:v>
                </c:pt>
                <c:pt idx="97">
                  <c:v>5.6250000000000001E-2</c:v>
                </c:pt>
                <c:pt idx="98">
                  <c:v>6.25E-2</c:v>
                </c:pt>
                <c:pt idx="99">
                  <c:v>6.8750000000000006E-2</c:v>
                </c:pt>
                <c:pt idx="100">
                  <c:v>7.4999999999999997E-2</c:v>
                </c:pt>
                <c:pt idx="101">
                  <c:v>8.1250000000000003E-2</c:v>
                </c:pt>
                <c:pt idx="102">
                  <c:v>8.7499999999999994E-2</c:v>
                </c:pt>
                <c:pt idx="103">
                  <c:v>9.375E-2</c:v>
                </c:pt>
                <c:pt idx="104">
                  <c:v>0.1</c:v>
                </c:pt>
                <c:pt idx="105">
                  <c:v>0.1125</c:v>
                </c:pt>
                <c:pt idx="106">
                  <c:v>0.125</c:v>
                </c:pt>
                <c:pt idx="107">
                  <c:v>0.13750000000000001</c:v>
                </c:pt>
                <c:pt idx="108">
                  <c:v>0.15</c:v>
                </c:pt>
                <c:pt idx="109">
                  <c:v>0.16250000000000001</c:v>
                </c:pt>
                <c:pt idx="110">
                  <c:v>0.17499999999999999</c:v>
                </c:pt>
                <c:pt idx="111">
                  <c:v>0.2</c:v>
                </c:pt>
                <c:pt idx="112">
                  <c:v>0.22500000000000001</c:v>
                </c:pt>
                <c:pt idx="113">
                  <c:v>0.25</c:v>
                </c:pt>
                <c:pt idx="114">
                  <c:v>0.27500000000000002</c:v>
                </c:pt>
                <c:pt idx="115">
                  <c:v>0.3</c:v>
                </c:pt>
                <c:pt idx="116">
                  <c:v>0.32500000000000001</c:v>
                </c:pt>
                <c:pt idx="117">
                  <c:v>0.35</c:v>
                </c:pt>
                <c:pt idx="118">
                  <c:v>0.375</c:v>
                </c:pt>
                <c:pt idx="119">
                  <c:v>0.4</c:v>
                </c:pt>
                <c:pt idx="120">
                  <c:v>0.42499999999999999</c:v>
                </c:pt>
                <c:pt idx="121">
                  <c:v>0.45</c:v>
                </c:pt>
                <c:pt idx="122">
                  <c:v>0.5</c:v>
                </c:pt>
                <c:pt idx="123">
                  <c:v>0.5625</c:v>
                </c:pt>
                <c:pt idx="124">
                  <c:v>0.625</c:v>
                </c:pt>
                <c:pt idx="125">
                  <c:v>0.6875</c:v>
                </c:pt>
                <c:pt idx="126">
                  <c:v>0.75</c:v>
                </c:pt>
                <c:pt idx="127">
                  <c:v>0.8125</c:v>
                </c:pt>
                <c:pt idx="128">
                  <c:v>0.875</c:v>
                </c:pt>
                <c:pt idx="129">
                  <c:v>0.9375</c:v>
                </c:pt>
                <c:pt idx="130" formatCode="0.000_ ">
                  <c:v>1</c:v>
                </c:pt>
                <c:pt idx="131" formatCode="0.000_ ">
                  <c:v>1.125</c:v>
                </c:pt>
                <c:pt idx="132" formatCode="0.000_ ">
                  <c:v>1.25</c:v>
                </c:pt>
                <c:pt idx="133" formatCode="0.000_ ">
                  <c:v>1.375</c:v>
                </c:pt>
                <c:pt idx="134" formatCode="0.000_ ">
                  <c:v>1.5</c:v>
                </c:pt>
                <c:pt idx="135" formatCode="0.000_ ">
                  <c:v>1.625</c:v>
                </c:pt>
                <c:pt idx="136" formatCode="0.000_ ">
                  <c:v>1.75</c:v>
                </c:pt>
                <c:pt idx="137" formatCode="0.000_ ">
                  <c:v>2</c:v>
                </c:pt>
                <c:pt idx="138" formatCode="0.000_ ">
                  <c:v>2.25</c:v>
                </c:pt>
                <c:pt idx="139" formatCode="0.000_ ">
                  <c:v>2.5</c:v>
                </c:pt>
                <c:pt idx="140" formatCode="0.000_ ">
                  <c:v>2.75</c:v>
                </c:pt>
                <c:pt idx="141" formatCode="0.000_ ">
                  <c:v>3</c:v>
                </c:pt>
                <c:pt idx="142" formatCode="0.000_ ">
                  <c:v>3.25</c:v>
                </c:pt>
                <c:pt idx="143" formatCode="0.000_ ">
                  <c:v>3.5</c:v>
                </c:pt>
                <c:pt idx="144" formatCode="0.000_ ">
                  <c:v>3.75</c:v>
                </c:pt>
                <c:pt idx="145" formatCode="0.000_ ">
                  <c:v>4</c:v>
                </c:pt>
                <c:pt idx="146" formatCode="0.000_ ">
                  <c:v>4.25</c:v>
                </c:pt>
                <c:pt idx="147" formatCode="0.000_ ">
                  <c:v>4.5</c:v>
                </c:pt>
                <c:pt idx="148" formatCode="0.000_ ">
                  <c:v>5</c:v>
                </c:pt>
                <c:pt idx="149" formatCode="0.000_ ">
                  <c:v>5.625</c:v>
                </c:pt>
                <c:pt idx="150" formatCode="0.000_ ">
                  <c:v>6.25</c:v>
                </c:pt>
                <c:pt idx="151" formatCode="0.000_ ">
                  <c:v>6.875</c:v>
                </c:pt>
                <c:pt idx="152" formatCode="0.000_ ">
                  <c:v>7.5</c:v>
                </c:pt>
                <c:pt idx="153" formatCode="0.000_ ">
                  <c:v>8.125</c:v>
                </c:pt>
                <c:pt idx="154" formatCode="0.000_ ">
                  <c:v>8.75</c:v>
                </c:pt>
                <c:pt idx="155" formatCode="0.000_ ">
                  <c:v>9.375</c:v>
                </c:pt>
                <c:pt idx="156" formatCode="0.000_ ">
                  <c:v>10</c:v>
                </c:pt>
                <c:pt idx="157" formatCode="0.000_ ">
                  <c:v>11.25</c:v>
                </c:pt>
                <c:pt idx="158" formatCode="0.000_ ">
                  <c:v>12.5</c:v>
                </c:pt>
                <c:pt idx="159" formatCode="0.000_ ">
                  <c:v>13.75</c:v>
                </c:pt>
                <c:pt idx="160" formatCode="0.000_ ">
                  <c:v>15</c:v>
                </c:pt>
                <c:pt idx="161" formatCode="0.000_ ">
                  <c:v>16.25</c:v>
                </c:pt>
                <c:pt idx="162" formatCode="0.000_ ">
                  <c:v>17.5</c:v>
                </c:pt>
                <c:pt idx="163" formatCode="0.000_ ">
                  <c:v>20</c:v>
                </c:pt>
                <c:pt idx="164" formatCode="0.000_ ">
                  <c:v>22.5</c:v>
                </c:pt>
                <c:pt idx="165" formatCode="0.000_ ">
                  <c:v>25</c:v>
                </c:pt>
                <c:pt idx="166" formatCode="0.000_ ">
                  <c:v>27.5</c:v>
                </c:pt>
                <c:pt idx="167" formatCode="0.000_ ">
                  <c:v>30</c:v>
                </c:pt>
                <c:pt idx="168" formatCode="0.000_ ">
                  <c:v>32.5</c:v>
                </c:pt>
                <c:pt idx="169" formatCode="0.000_ ">
                  <c:v>35</c:v>
                </c:pt>
                <c:pt idx="170" formatCode="0.000_ ">
                  <c:v>37.5</c:v>
                </c:pt>
                <c:pt idx="171" formatCode="0.000_ ">
                  <c:v>40</c:v>
                </c:pt>
                <c:pt idx="172" formatCode="0.000_ ">
                  <c:v>42.5</c:v>
                </c:pt>
                <c:pt idx="173" formatCode="0.000_ ">
                  <c:v>45</c:v>
                </c:pt>
                <c:pt idx="174" formatCode="0.000_ ">
                  <c:v>50</c:v>
                </c:pt>
                <c:pt idx="175" formatCode="0.000_ ">
                  <c:v>56.25</c:v>
                </c:pt>
                <c:pt idx="176" formatCode="0.000_ ">
                  <c:v>62.5</c:v>
                </c:pt>
                <c:pt idx="177" formatCode="0.000_ ">
                  <c:v>68.75</c:v>
                </c:pt>
                <c:pt idx="178" formatCode="0.000_ ">
                  <c:v>75</c:v>
                </c:pt>
                <c:pt idx="179" formatCode="0.000_ ">
                  <c:v>81.25</c:v>
                </c:pt>
                <c:pt idx="180" formatCode="0.000_ ">
                  <c:v>87.5</c:v>
                </c:pt>
                <c:pt idx="181" formatCode="0.000_ ">
                  <c:v>93.75</c:v>
                </c:pt>
                <c:pt idx="182" formatCode="0.00_ ">
                  <c:v>100</c:v>
                </c:pt>
                <c:pt idx="183" formatCode="0.00_ ">
                  <c:v>112.5</c:v>
                </c:pt>
                <c:pt idx="184" formatCode="0.00_ ">
                  <c:v>125</c:v>
                </c:pt>
                <c:pt idx="185" formatCode="0.00_ ">
                  <c:v>137.5</c:v>
                </c:pt>
                <c:pt idx="186" formatCode="0.00_ ">
                  <c:v>150</c:v>
                </c:pt>
                <c:pt idx="187" formatCode="0.00_ ">
                  <c:v>162.5</c:v>
                </c:pt>
                <c:pt idx="188" formatCode="0.00_ ">
                  <c:v>175</c:v>
                </c:pt>
                <c:pt idx="189" formatCode="0.00_ ">
                  <c:v>200</c:v>
                </c:pt>
                <c:pt idx="190" formatCode="0.00_ ">
                  <c:v>225</c:v>
                </c:pt>
                <c:pt idx="191" formatCode="0.00_ ">
                  <c:v>250</c:v>
                </c:pt>
                <c:pt idx="192" formatCode="0.00_ ">
                  <c:v>275</c:v>
                </c:pt>
                <c:pt idx="193" formatCode="0.00_ ">
                  <c:v>300</c:v>
                </c:pt>
                <c:pt idx="194" formatCode="0.00_ ">
                  <c:v>325</c:v>
                </c:pt>
                <c:pt idx="195" formatCode="0.00_ ">
                  <c:v>350</c:v>
                </c:pt>
                <c:pt idx="196" formatCode="0.00_ ">
                  <c:v>375</c:v>
                </c:pt>
                <c:pt idx="197" formatCode="0.00_ ">
                  <c:v>400</c:v>
                </c:pt>
                <c:pt idx="198" formatCode="0.00_ ">
                  <c:v>425</c:v>
                </c:pt>
                <c:pt idx="199" formatCode="0.00_ ">
                  <c:v>450</c:v>
                </c:pt>
                <c:pt idx="200" formatCode="0.00_ ">
                  <c:v>500</c:v>
                </c:pt>
                <c:pt idx="201" formatCode="0.00_ ">
                  <c:v>562.5</c:v>
                </c:pt>
                <c:pt idx="202" formatCode="0.00_ ">
                  <c:v>625</c:v>
                </c:pt>
                <c:pt idx="203" formatCode="0.00_ ">
                  <c:v>687.5</c:v>
                </c:pt>
                <c:pt idx="204" formatCode="0.00_ ">
                  <c:v>750</c:v>
                </c:pt>
                <c:pt idx="205" formatCode="0.00_ ">
                  <c:v>812.5</c:v>
                </c:pt>
                <c:pt idx="206" formatCode="0.00_ ">
                  <c:v>875</c:v>
                </c:pt>
                <c:pt idx="207" formatCode="0.00_ ">
                  <c:v>937.5</c:v>
                </c:pt>
                <c:pt idx="208" formatCode="0.00_ ">
                  <c:v>1000</c:v>
                </c:pt>
              </c:numCache>
            </c:numRef>
          </c:xVal>
          <c:yVal>
            <c:numRef>
              <c:f>'dbg30'!$W$11:$W$219</c:f>
              <c:numCache>
                <c:formatCode>0.000_ </c:formatCode>
                <c:ptCount val="209"/>
                <c:pt idx="0">
                  <c:v>3.9999900000000006E-4</c:v>
                </c:pt>
                <c:pt idx="1">
                  <c:v>4.4999900000000003E-4</c:v>
                </c:pt>
                <c:pt idx="2">
                  <c:v>4.9999899999999999E-4</c:v>
                </c:pt>
                <c:pt idx="3">
                  <c:v>5.4999900000000002E-4</c:v>
                </c:pt>
                <c:pt idx="4">
                  <c:v>5.9999900000000004E-4</c:v>
                </c:pt>
                <c:pt idx="5">
                  <c:v>6.4999900000000006E-4</c:v>
                </c:pt>
                <c:pt idx="6">
                  <c:v>6.9999899999999998E-4</c:v>
                </c:pt>
                <c:pt idx="7">
                  <c:v>7.9999900000000002E-4</c:v>
                </c:pt>
                <c:pt idx="8">
                  <c:v>8.9999900000000007E-4</c:v>
                </c:pt>
                <c:pt idx="9">
                  <c:v>9.9999900000000011E-4</c:v>
                </c:pt>
                <c:pt idx="10">
                  <c:v>1.1000000000000001E-3</c:v>
                </c:pt>
                <c:pt idx="11">
                  <c:v>1.1999999999999999E-3</c:v>
                </c:pt>
                <c:pt idx="12">
                  <c:v>1.2999999999999999E-3</c:v>
                </c:pt>
                <c:pt idx="13">
                  <c:v>1.3999999999999998E-3</c:v>
                </c:pt>
                <c:pt idx="14">
                  <c:v>1.5E-3</c:v>
                </c:pt>
                <c:pt idx="15">
                  <c:v>1.6000000000000001E-3</c:v>
                </c:pt>
                <c:pt idx="16">
                  <c:v>1.6999999999999999E-3</c:v>
                </c:pt>
                <c:pt idx="17">
                  <c:v>1.8E-3</c:v>
                </c:pt>
                <c:pt idx="18">
                  <c:v>2E-3</c:v>
                </c:pt>
                <c:pt idx="19">
                  <c:v>2.2499999999999998E-3</c:v>
                </c:pt>
                <c:pt idx="20">
                  <c:v>2.5000000000000001E-3</c:v>
                </c:pt>
                <c:pt idx="21">
                  <c:v>2.7499999999999998E-3</c:v>
                </c:pt>
                <c:pt idx="22">
                  <c:v>3.0000000000000001E-3</c:v>
                </c:pt>
                <c:pt idx="23">
                  <c:v>3.2499999999999999E-3</c:v>
                </c:pt>
                <c:pt idx="24">
                  <c:v>3.5000000000000001E-3</c:v>
                </c:pt>
                <c:pt idx="25">
                  <c:v>3.7499999999999999E-3</c:v>
                </c:pt>
                <c:pt idx="26">
                  <c:v>4.0000000000000001E-3</c:v>
                </c:pt>
                <c:pt idx="27">
                  <c:v>4.4999999999999997E-3</c:v>
                </c:pt>
                <c:pt idx="28">
                  <c:v>5.0000000000000001E-3</c:v>
                </c:pt>
                <c:pt idx="29">
                  <c:v>5.4999999999999997E-3</c:v>
                </c:pt>
                <c:pt idx="30">
                  <c:v>6.0000000000000001E-3</c:v>
                </c:pt>
                <c:pt idx="31">
                  <c:v>6.4999999999999997E-3</c:v>
                </c:pt>
                <c:pt idx="32">
                  <c:v>7.0000000000000001E-3</c:v>
                </c:pt>
                <c:pt idx="33">
                  <c:v>8.0000000000000002E-3</c:v>
                </c:pt>
                <c:pt idx="34">
                  <c:v>8.9999999999999993E-3</c:v>
                </c:pt>
                <c:pt idx="35">
                  <c:v>0.01</c:v>
                </c:pt>
                <c:pt idx="36">
                  <c:v>1.0999999999999999E-2</c:v>
                </c:pt>
                <c:pt idx="37">
                  <c:v>1.2E-2</c:v>
                </c:pt>
                <c:pt idx="38">
                  <c:v>1.2999999999999999E-2</c:v>
                </c:pt>
                <c:pt idx="39">
                  <c:v>1.4E-2</c:v>
                </c:pt>
                <c:pt idx="40">
                  <c:v>1.4999999999999999E-2</c:v>
                </c:pt>
                <c:pt idx="41">
                  <c:v>1.6E-2</c:v>
                </c:pt>
                <c:pt idx="42">
                  <c:v>1.7000000000000001E-2</c:v>
                </c:pt>
                <c:pt idx="43">
                  <c:v>1.7999999999999999E-2</c:v>
                </c:pt>
                <c:pt idx="44">
                  <c:v>0.02</c:v>
                </c:pt>
                <c:pt idx="45">
                  <c:v>2.2499999999999999E-2</c:v>
                </c:pt>
                <c:pt idx="46">
                  <c:v>2.5000000000000001E-2</c:v>
                </c:pt>
                <c:pt idx="47">
                  <c:v>2.7499999999999997E-2</c:v>
                </c:pt>
                <c:pt idx="48">
                  <c:v>0.03</c:v>
                </c:pt>
                <c:pt idx="49">
                  <c:v>3.2500000000000001E-2</c:v>
                </c:pt>
                <c:pt idx="50">
                  <c:v>3.5000000000000003E-2</c:v>
                </c:pt>
                <c:pt idx="51">
                  <c:v>3.7499999999999999E-2</c:v>
                </c:pt>
                <c:pt idx="52">
                  <c:v>0.04</c:v>
                </c:pt>
                <c:pt idx="53">
                  <c:v>4.4999999999999998E-2</c:v>
                </c:pt>
                <c:pt idx="54">
                  <c:v>0.05</c:v>
                </c:pt>
                <c:pt idx="55">
                  <c:v>5.4999999999999993E-2</c:v>
                </c:pt>
                <c:pt idx="56">
                  <c:v>0.06</c:v>
                </c:pt>
                <c:pt idx="57">
                  <c:v>6.5000000000000002E-2</c:v>
                </c:pt>
                <c:pt idx="58">
                  <c:v>7.0000000000000007E-2</c:v>
                </c:pt>
                <c:pt idx="59">
                  <c:v>0.08</c:v>
                </c:pt>
                <c:pt idx="60">
                  <c:v>0.09</c:v>
                </c:pt>
                <c:pt idx="61">
                  <c:v>0.1</c:v>
                </c:pt>
                <c:pt idx="62">
                  <c:v>0.10999999999999999</c:v>
                </c:pt>
                <c:pt idx="63">
                  <c:v>0.12</c:v>
                </c:pt>
                <c:pt idx="64">
                  <c:v>0.13</c:v>
                </c:pt>
                <c:pt idx="65">
                  <c:v>0.14000000000000001</c:v>
                </c:pt>
                <c:pt idx="66">
                  <c:v>0.15</c:v>
                </c:pt>
                <c:pt idx="67">
                  <c:v>0.16</c:v>
                </c:pt>
                <c:pt idx="68">
                  <c:v>0.17</c:v>
                </c:pt>
                <c:pt idx="69">
                  <c:v>0.18</c:v>
                </c:pt>
                <c:pt idx="70">
                  <c:v>0.2</c:v>
                </c:pt>
                <c:pt idx="71">
                  <c:v>0.22499999999999998</c:v>
                </c:pt>
                <c:pt idx="72">
                  <c:v>0.25</c:v>
                </c:pt>
                <c:pt idx="73">
                  <c:v>0.27500000000000002</c:v>
                </c:pt>
                <c:pt idx="74">
                  <c:v>0.3</c:v>
                </c:pt>
                <c:pt idx="75">
                  <c:v>0.32500000000000001</c:v>
                </c:pt>
                <c:pt idx="76">
                  <c:v>0.35</c:v>
                </c:pt>
                <c:pt idx="77">
                  <c:v>0.375</c:v>
                </c:pt>
                <c:pt idx="78">
                  <c:v>0.4</c:v>
                </c:pt>
                <c:pt idx="79">
                  <c:v>0.44999999999999996</c:v>
                </c:pt>
                <c:pt idx="80">
                  <c:v>0.5</c:v>
                </c:pt>
                <c:pt idx="81">
                  <c:v>0.55000000000000004</c:v>
                </c:pt>
                <c:pt idx="82">
                  <c:v>0.6</c:v>
                </c:pt>
                <c:pt idx="83">
                  <c:v>0.65</c:v>
                </c:pt>
                <c:pt idx="84">
                  <c:v>0.7</c:v>
                </c:pt>
                <c:pt idx="85">
                  <c:v>0.8</c:v>
                </c:pt>
                <c:pt idx="86">
                  <c:v>0.89999999999999991</c:v>
                </c:pt>
                <c:pt idx="87">
                  <c:v>1</c:v>
                </c:pt>
                <c:pt idx="88">
                  <c:v>1.1000000000000001</c:v>
                </c:pt>
                <c:pt idx="89">
                  <c:v>1.2</c:v>
                </c:pt>
                <c:pt idx="90">
                  <c:v>1.3</c:v>
                </c:pt>
                <c:pt idx="91">
                  <c:v>1.4</c:v>
                </c:pt>
                <c:pt idx="92">
                  <c:v>1.5</c:v>
                </c:pt>
                <c:pt idx="93">
                  <c:v>1.6</c:v>
                </c:pt>
                <c:pt idx="94">
                  <c:v>1.6999999999999997</c:v>
                </c:pt>
                <c:pt idx="95">
                  <c:v>1.7999999999999998</c:v>
                </c:pt>
                <c:pt idx="96">
                  <c:v>2</c:v>
                </c:pt>
                <c:pt idx="97">
                  <c:v>2.25</c:v>
                </c:pt>
                <c:pt idx="98">
                  <c:v>2.5</c:v>
                </c:pt>
                <c:pt idx="99">
                  <c:v>2.75</c:v>
                </c:pt>
                <c:pt idx="100">
                  <c:v>3</c:v>
                </c:pt>
                <c:pt idx="101">
                  <c:v>3.25</c:v>
                </c:pt>
                <c:pt idx="102">
                  <c:v>3.5</c:v>
                </c:pt>
                <c:pt idx="103">
                  <c:v>3.75</c:v>
                </c:pt>
                <c:pt idx="104">
                  <c:v>4</c:v>
                </c:pt>
                <c:pt idx="105">
                  <c:v>4.5</c:v>
                </c:pt>
                <c:pt idx="106">
                  <c:v>5</c:v>
                </c:pt>
                <c:pt idx="107">
                  <c:v>5.5</c:v>
                </c:pt>
                <c:pt idx="108">
                  <c:v>6</c:v>
                </c:pt>
                <c:pt idx="109">
                  <c:v>6.5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20</c:v>
                </c:pt>
                <c:pt idx="123">
                  <c:v>22.5</c:v>
                </c:pt>
                <c:pt idx="124">
                  <c:v>25</c:v>
                </c:pt>
                <c:pt idx="125">
                  <c:v>27.5</c:v>
                </c:pt>
                <c:pt idx="126">
                  <c:v>30</c:v>
                </c:pt>
                <c:pt idx="127">
                  <c:v>32.5</c:v>
                </c:pt>
                <c:pt idx="128">
                  <c:v>35</c:v>
                </c:pt>
                <c:pt idx="129">
                  <c:v>37.5</c:v>
                </c:pt>
                <c:pt idx="130">
                  <c:v>40</c:v>
                </c:pt>
                <c:pt idx="131">
                  <c:v>45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7B5-47B7-A394-65373099B632}"/>
            </c:ext>
          </c:extLst>
        </c:ser>
        <c:ser>
          <c:idx val="3"/>
          <c:order val="2"/>
          <c:tx>
            <c:v>ws2 dEt2</c:v>
          </c:tx>
          <c:spPr>
            <a:ln w="12700">
              <a:solidFill>
                <a:srgbClr val="0000FF"/>
              </a:solidFill>
            </a:ln>
          </c:spPr>
          <c:marker>
            <c:symbol val="triangle"/>
            <c:size val="3"/>
            <c:spPr>
              <a:noFill/>
              <a:ln>
                <a:solidFill>
                  <a:srgbClr val="0000FF"/>
                </a:solidFill>
              </a:ln>
            </c:spPr>
          </c:marker>
          <c:xVal>
            <c:numRef>
              <c:f>'dbg30'!$Z$11:$Z$219</c:f>
              <c:numCache>
                <c:formatCode>0.00000_ </c:formatCode>
                <c:ptCount val="209"/>
                <c:pt idx="0">
                  <c:v>1.071427380952381E-5</c:v>
                </c:pt>
                <c:pt idx="1">
                  <c:v>1.1904750000000002E-5</c:v>
                </c:pt>
                <c:pt idx="2">
                  <c:v>1.3095238095238096E-5</c:v>
                </c:pt>
                <c:pt idx="3">
                  <c:v>1.4285714285714284E-5</c:v>
                </c:pt>
                <c:pt idx="4">
                  <c:v>1.5476190476190476E-5</c:v>
                </c:pt>
                <c:pt idx="5">
                  <c:v>1.6666666666666667E-5</c:v>
                </c:pt>
                <c:pt idx="6">
                  <c:v>1.7857142857142858E-5</c:v>
                </c:pt>
                <c:pt idx="7">
                  <c:v>1.9047619047619049E-5</c:v>
                </c:pt>
                <c:pt idx="8">
                  <c:v>2.0238095238095237E-5</c:v>
                </c:pt>
                <c:pt idx="9">
                  <c:v>2.1428571428571428E-5</c:v>
                </c:pt>
                <c:pt idx="10">
                  <c:v>2.380952380952381E-5</c:v>
                </c:pt>
                <c:pt idx="11">
                  <c:v>2.6785714285714284E-5</c:v>
                </c:pt>
                <c:pt idx="12">
                  <c:v>2.9761904761904762E-5</c:v>
                </c:pt>
                <c:pt idx="13">
                  <c:v>3.2738095238095239E-5</c:v>
                </c:pt>
                <c:pt idx="14">
                  <c:v>3.5714285714285717E-5</c:v>
                </c:pt>
                <c:pt idx="15">
                  <c:v>3.8690476190476188E-5</c:v>
                </c:pt>
                <c:pt idx="16">
                  <c:v>4.1666666666666665E-5</c:v>
                </c:pt>
                <c:pt idx="17">
                  <c:v>4.4642857142857143E-5</c:v>
                </c:pt>
                <c:pt idx="18">
                  <c:v>4.761904761904762E-5</c:v>
                </c:pt>
                <c:pt idx="19">
                  <c:v>5.3571428571428569E-5</c:v>
                </c:pt>
                <c:pt idx="20">
                  <c:v>5.9523809523809524E-5</c:v>
                </c:pt>
                <c:pt idx="21">
                  <c:v>6.5476190476190479E-5</c:v>
                </c:pt>
                <c:pt idx="22">
                  <c:v>7.1428571428571434E-5</c:v>
                </c:pt>
                <c:pt idx="23">
                  <c:v>7.7380952380952375E-5</c:v>
                </c:pt>
                <c:pt idx="24">
                  <c:v>8.3333333333333331E-5</c:v>
                </c:pt>
                <c:pt idx="25">
                  <c:v>9.5238095238095241E-5</c:v>
                </c:pt>
                <c:pt idx="26">
                  <c:v>1.0714285714285714E-4</c:v>
                </c:pt>
                <c:pt idx="27">
                  <c:v>1.1904761904761905E-4</c:v>
                </c:pt>
                <c:pt idx="28">
                  <c:v>1.3095238095238096E-4</c:v>
                </c:pt>
                <c:pt idx="29">
                  <c:v>1.4285714285714287E-4</c:v>
                </c:pt>
                <c:pt idx="30">
                  <c:v>1.5476190476190475E-4</c:v>
                </c:pt>
                <c:pt idx="31">
                  <c:v>1.6666666666666666E-4</c:v>
                </c:pt>
                <c:pt idx="32">
                  <c:v>1.7857142857142857E-4</c:v>
                </c:pt>
                <c:pt idx="33">
                  <c:v>1.9047619047619048E-4</c:v>
                </c:pt>
                <c:pt idx="34">
                  <c:v>2.0238095238095239E-4</c:v>
                </c:pt>
                <c:pt idx="35">
                  <c:v>2.1428571428571427E-4</c:v>
                </c:pt>
                <c:pt idx="36">
                  <c:v>2.380952380952381E-4</c:v>
                </c:pt>
                <c:pt idx="37">
                  <c:v>2.6785714285714287E-4</c:v>
                </c:pt>
                <c:pt idx="38">
                  <c:v>2.9761904761904765E-4</c:v>
                </c:pt>
                <c:pt idx="39">
                  <c:v>3.2738095238095237E-4</c:v>
                </c:pt>
                <c:pt idx="40">
                  <c:v>3.5714285714285714E-4</c:v>
                </c:pt>
                <c:pt idx="41">
                  <c:v>3.8690476190476192E-4</c:v>
                </c:pt>
                <c:pt idx="42">
                  <c:v>4.1666666666666669E-4</c:v>
                </c:pt>
                <c:pt idx="43">
                  <c:v>4.4642857142857141E-4</c:v>
                </c:pt>
                <c:pt idx="44">
                  <c:v>4.7619047619047619E-4</c:v>
                </c:pt>
                <c:pt idx="45">
                  <c:v>5.3571428571428574E-4</c:v>
                </c:pt>
                <c:pt idx="46">
                  <c:v>5.9523809523809529E-4</c:v>
                </c:pt>
                <c:pt idx="47">
                  <c:v>6.5476190476190473E-4</c:v>
                </c:pt>
                <c:pt idx="48">
                  <c:v>7.1428571428571429E-4</c:v>
                </c:pt>
                <c:pt idx="49">
                  <c:v>7.7380952380952384E-4</c:v>
                </c:pt>
                <c:pt idx="50">
                  <c:v>8.3333333333333339E-4</c:v>
                </c:pt>
                <c:pt idx="51">
                  <c:v>9.5238095238095238E-4</c:v>
                </c:pt>
                <c:pt idx="52">
                  <c:v>1.0714285714285715E-3</c:v>
                </c:pt>
                <c:pt idx="53">
                  <c:v>1.1904761904761906E-3</c:v>
                </c:pt>
                <c:pt idx="54">
                  <c:v>1.3095238095238095E-3</c:v>
                </c:pt>
                <c:pt idx="55">
                  <c:v>1.4285714285714286E-3</c:v>
                </c:pt>
                <c:pt idx="56">
                  <c:v>1.5476190476190477E-3</c:v>
                </c:pt>
                <c:pt idx="57">
                  <c:v>1.6666666666666668E-3</c:v>
                </c:pt>
                <c:pt idx="58">
                  <c:v>1.7857142857142857E-3</c:v>
                </c:pt>
                <c:pt idx="59">
                  <c:v>1.9047619047619048E-3</c:v>
                </c:pt>
                <c:pt idx="60">
                  <c:v>2.0238095238095241E-3</c:v>
                </c:pt>
                <c:pt idx="61">
                  <c:v>2.142857142857143E-3</c:v>
                </c:pt>
                <c:pt idx="62">
                  <c:v>2.3809523809523812E-3</c:v>
                </c:pt>
                <c:pt idx="63">
                  <c:v>2.6785714285714286E-3</c:v>
                </c:pt>
                <c:pt idx="64">
                  <c:v>2.976190476190476E-3</c:v>
                </c:pt>
                <c:pt idx="65">
                  <c:v>3.2738095238095239E-3</c:v>
                </c:pt>
                <c:pt idx="66">
                  <c:v>3.5714285714285713E-3</c:v>
                </c:pt>
                <c:pt idx="67">
                  <c:v>3.8690476190476192E-3</c:v>
                </c:pt>
                <c:pt idx="68">
                  <c:v>4.1666666666666666E-3</c:v>
                </c:pt>
                <c:pt idx="69">
                  <c:v>4.464285714285714E-3</c:v>
                </c:pt>
                <c:pt idx="70">
                  <c:v>4.7619047619047623E-3</c:v>
                </c:pt>
                <c:pt idx="71">
                  <c:v>5.3571428571428572E-3</c:v>
                </c:pt>
                <c:pt idx="72">
                  <c:v>5.9523809523809521E-3</c:v>
                </c:pt>
                <c:pt idx="73">
                  <c:v>6.5476190476190478E-3</c:v>
                </c:pt>
                <c:pt idx="74">
                  <c:v>7.1428571428571426E-3</c:v>
                </c:pt>
                <c:pt idx="75">
                  <c:v>7.7380952380952384E-3</c:v>
                </c:pt>
                <c:pt idx="76">
                  <c:v>8.3333333333333332E-3</c:v>
                </c:pt>
                <c:pt idx="77">
                  <c:v>9.5238095238095247E-3</c:v>
                </c:pt>
                <c:pt idx="78">
                  <c:v>1.0714285714285714E-2</c:v>
                </c:pt>
                <c:pt idx="79">
                  <c:v>1.1904761904761904E-2</c:v>
                </c:pt>
                <c:pt idx="80">
                  <c:v>1.3095238095238096E-2</c:v>
                </c:pt>
                <c:pt idx="81">
                  <c:v>1.4285714285714285E-2</c:v>
                </c:pt>
                <c:pt idx="82">
                  <c:v>1.5476190476190477E-2</c:v>
                </c:pt>
                <c:pt idx="83">
                  <c:v>1.6666666666666666E-2</c:v>
                </c:pt>
                <c:pt idx="84">
                  <c:v>1.7857142857142856E-2</c:v>
                </c:pt>
                <c:pt idx="85">
                  <c:v>1.9047619047619049E-2</c:v>
                </c:pt>
                <c:pt idx="86">
                  <c:v>2.0238095238095239E-2</c:v>
                </c:pt>
                <c:pt idx="87">
                  <c:v>2.1428571428571429E-2</c:v>
                </c:pt>
                <c:pt idx="88">
                  <c:v>2.3809523809523808E-2</c:v>
                </c:pt>
                <c:pt idx="89">
                  <c:v>2.6785714285714284E-2</c:v>
                </c:pt>
                <c:pt idx="90">
                  <c:v>2.976190476190476E-2</c:v>
                </c:pt>
                <c:pt idx="91">
                  <c:v>3.273809523809524E-2</c:v>
                </c:pt>
                <c:pt idx="92">
                  <c:v>3.5714285714285712E-2</c:v>
                </c:pt>
                <c:pt idx="93">
                  <c:v>3.8690476190476192E-2</c:v>
                </c:pt>
                <c:pt idx="94">
                  <c:v>4.1666666666666664E-2</c:v>
                </c:pt>
                <c:pt idx="95">
                  <c:v>4.4642857142857144E-2</c:v>
                </c:pt>
                <c:pt idx="96">
                  <c:v>4.7619047619047616E-2</c:v>
                </c:pt>
                <c:pt idx="97">
                  <c:v>5.3571428571428568E-2</c:v>
                </c:pt>
                <c:pt idx="98">
                  <c:v>5.9523809523809521E-2</c:v>
                </c:pt>
                <c:pt idx="99">
                  <c:v>6.5476190476190479E-2</c:v>
                </c:pt>
                <c:pt idx="100">
                  <c:v>7.1428571428571425E-2</c:v>
                </c:pt>
                <c:pt idx="101">
                  <c:v>7.7380952380952384E-2</c:v>
                </c:pt>
                <c:pt idx="102">
                  <c:v>8.3333333333333329E-2</c:v>
                </c:pt>
                <c:pt idx="103">
                  <c:v>9.5238095238095233E-2</c:v>
                </c:pt>
                <c:pt idx="104">
                  <c:v>0.10714285714285714</c:v>
                </c:pt>
                <c:pt idx="105">
                  <c:v>0.11904761904761904</c:v>
                </c:pt>
                <c:pt idx="106">
                  <c:v>0.13095238095238096</c:v>
                </c:pt>
                <c:pt idx="107">
                  <c:v>0.14285714285714285</c:v>
                </c:pt>
                <c:pt idx="108">
                  <c:v>0.15476190476190477</c:v>
                </c:pt>
                <c:pt idx="109">
                  <c:v>0.16666666666666666</c:v>
                </c:pt>
                <c:pt idx="110">
                  <c:v>0.17857142857142858</c:v>
                </c:pt>
                <c:pt idx="111">
                  <c:v>0.19047619047619047</c:v>
                </c:pt>
                <c:pt idx="112">
                  <c:v>0.20238095238095238</c:v>
                </c:pt>
                <c:pt idx="113">
                  <c:v>0.21428571428571427</c:v>
                </c:pt>
                <c:pt idx="114">
                  <c:v>0.23809523809523808</c:v>
                </c:pt>
                <c:pt idx="115">
                  <c:v>0.26785714285714285</c:v>
                </c:pt>
                <c:pt idx="116">
                  <c:v>0.29761904761904762</c:v>
                </c:pt>
                <c:pt idx="117">
                  <c:v>0.32738095238095238</c:v>
                </c:pt>
                <c:pt idx="118">
                  <c:v>0.35714285714285715</c:v>
                </c:pt>
                <c:pt idx="119">
                  <c:v>0.38690476190476192</c:v>
                </c:pt>
                <c:pt idx="120">
                  <c:v>0.41666666666666669</c:v>
                </c:pt>
                <c:pt idx="121">
                  <c:v>0.44642857142857145</c:v>
                </c:pt>
                <c:pt idx="122">
                  <c:v>0.47619047619047616</c:v>
                </c:pt>
                <c:pt idx="123">
                  <c:v>0.5357142857142857</c:v>
                </c:pt>
                <c:pt idx="124">
                  <c:v>0.59523809523809523</c:v>
                </c:pt>
                <c:pt idx="125">
                  <c:v>0.65476190476190477</c:v>
                </c:pt>
                <c:pt idx="126">
                  <c:v>0.7142857142857143</c:v>
                </c:pt>
                <c:pt idx="127">
                  <c:v>0.77380952380952384</c:v>
                </c:pt>
                <c:pt idx="128">
                  <c:v>0.83333333333333337</c:v>
                </c:pt>
                <c:pt idx="129">
                  <c:v>0.95238095238095233</c:v>
                </c:pt>
                <c:pt idx="130" formatCode="0.000_ ">
                  <c:v>1.0714285714285714</c:v>
                </c:pt>
                <c:pt idx="131" formatCode="0.000_ ">
                  <c:v>1.1904761904761905</c:v>
                </c:pt>
                <c:pt idx="132" formatCode="0.000_ ">
                  <c:v>1.3095238095238095</c:v>
                </c:pt>
                <c:pt idx="133" formatCode="0.000_ ">
                  <c:v>1.4285714285714286</c:v>
                </c:pt>
                <c:pt idx="134" formatCode="0.000_ ">
                  <c:v>1.5476190476190477</c:v>
                </c:pt>
                <c:pt idx="135" formatCode="0.000_ ">
                  <c:v>1.6666666666666667</c:v>
                </c:pt>
                <c:pt idx="136" formatCode="0.000_ ">
                  <c:v>1.7857142857142858</c:v>
                </c:pt>
                <c:pt idx="137" formatCode="0.000_ ">
                  <c:v>1.9047619047619047</c:v>
                </c:pt>
                <c:pt idx="138" formatCode="0.000_ ">
                  <c:v>2.0238095238095237</c:v>
                </c:pt>
                <c:pt idx="139" formatCode="0.000_ ">
                  <c:v>2.1428571428571428</c:v>
                </c:pt>
                <c:pt idx="140" formatCode="0.000_ ">
                  <c:v>2.3809523809523809</c:v>
                </c:pt>
                <c:pt idx="141" formatCode="0.000_ ">
                  <c:v>2.6785714285714284</c:v>
                </c:pt>
                <c:pt idx="142" formatCode="0.000_ ">
                  <c:v>2.9761904761904763</c:v>
                </c:pt>
                <c:pt idx="143" formatCode="0.000_ ">
                  <c:v>3.2738095238095237</c:v>
                </c:pt>
                <c:pt idx="144" formatCode="0.000_ ">
                  <c:v>3.5714285714285716</c:v>
                </c:pt>
                <c:pt idx="145" formatCode="0.000_ ">
                  <c:v>3.8690476190476191</c:v>
                </c:pt>
                <c:pt idx="146" formatCode="0.000_ ">
                  <c:v>4.166666666666667</c:v>
                </c:pt>
                <c:pt idx="147" formatCode="0.000_ ">
                  <c:v>4.4642857142857144</c:v>
                </c:pt>
                <c:pt idx="148" formatCode="0.000_ ">
                  <c:v>4.7619047619047619</c:v>
                </c:pt>
                <c:pt idx="149" formatCode="0.000_ ">
                  <c:v>5.3571428571428568</c:v>
                </c:pt>
                <c:pt idx="150" formatCode="0.000_ ">
                  <c:v>5.9523809523809526</c:v>
                </c:pt>
                <c:pt idx="151" formatCode="0.000_ ">
                  <c:v>6.5476190476190474</c:v>
                </c:pt>
                <c:pt idx="152" formatCode="0.000_ ">
                  <c:v>7.1428571428571432</c:v>
                </c:pt>
                <c:pt idx="153" formatCode="0.000_ ">
                  <c:v>7.7380952380952381</c:v>
                </c:pt>
                <c:pt idx="154" formatCode="0.000_ ">
                  <c:v>8.3333333333333339</c:v>
                </c:pt>
                <c:pt idx="155" formatCode="0.000_ ">
                  <c:v>9.5238095238095237</c:v>
                </c:pt>
                <c:pt idx="156" formatCode="0.000_ ">
                  <c:v>10.714285714285714</c:v>
                </c:pt>
                <c:pt idx="157" formatCode="0.000_ ">
                  <c:v>11.904761904761905</c:v>
                </c:pt>
                <c:pt idx="158" formatCode="0.000_ ">
                  <c:v>13.095238095238095</c:v>
                </c:pt>
                <c:pt idx="159" formatCode="0.000_ ">
                  <c:v>14.285714285714286</c:v>
                </c:pt>
                <c:pt idx="160" formatCode="0.000_ ">
                  <c:v>15.476190476190476</c:v>
                </c:pt>
                <c:pt idx="161" formatCode="0.000_ ">
                  <c:v>16.666666666666668</c:v>
                </c:pt>
                <c:pt idx="162" formatCode="0.000_ ">
                  <c:v>17.857142857142858</c:v>
                </c:pt>
                <c:pt idx="163" formatCode="0.000_ ">
                  <c:v>19.047619047619047</c:v>
                </c:pt>
                <c:pt idx="164" formatCode="0.000_ ">
                  <c:v>20.238095238095237</c:v>
                </c:pt>
                <c:pt idx="165" formatCode="0.000_ ">
                  <c:v>21.428571428571427</c:v>
                </c:pt>
                <c:pt idx="166" formatCode="0.000_ ">
                  <c:v>23.80952380952381</c:v>
                </c:pt>
                <c:pt idx="167" formatCode="0.000_ ">
                  <c:v>26.785714285714285</c:v>
                </c:pt>
                <c:pt idx="168" formatCode="0.000_ ">
                  <c:v>29.761904761904763</c:v>
                </c:pt>
                <c:pt idx="169" formatCode="0.000_ ">
                  <c:v>32.738095238095241</c:v>
                </c:pt>
                <c:pt idx="170" formatCode="0.000_ ">
                  <c:v>35.714285714285715</c:v>
                </c:pt>
                <c:pt idx="171" formatCode="0.000_ ">
                  <c:v>38.69047619047619</c:v>
                </c:pt>
                <c:pt idx="172" formatCode="0.000_ ">
                  <c:v>41.666666666666664</c:v>
                </c:pt>
                <c:pt idx="173" formatCode="0.000_ ">
                  <c:v>44.642857142857146</c:v>
                </c:pt>
                <c:pt idx="174" formatCode="0.000_ ">
                  <c:v>47.61904761904762</c:v>
                </c:pt>
                <c:pt idx="175" formatCode="0.000_ ">
                  <c:v>53.571428571428569</c:v>
                </c:pt>
                <c:pt idx="176" formatCode="0.000_ ">
                  <c:v>59.523809523809526</c:v>
                </c:pt>
                <c:pt idx="177" formatCode="0.000_ ">
                  <c:v>65.476190476190482</c:v>
                </c:pt>
                <c:pt idx="178" formatCode="0.000_ ">
                  <c:v>71.428571428571431</c:v>
                </c:pt>
                <c:pt idx="179" formatCode="0.000_ ">
                  <c:v>77.38095238095238</c:v>
                </c:pt>
                <c:pt idx="180" formatCode="0.000_ ">
                  <c:v>83.333333333333329</c:v>
                </c:pt>
                <c:pt idx="181" formatCode="0.000_ ">
                  <c:v>95.238095238095241</c:v>
                </c:pt>
                <c:pt idx="182" formatCode="0.00_ ">
                  <c:v>107.14285714285714</c:v>
                </c:pt>
                <c:pt idx="183" formatCode="0.00_ ">
                  <c:v>119.04761904761905</c:v>
                </c:pt>
                <c:pt idx="184" formatCode="0.00_ ">
                  <c:v>130.95238095238096</c:v>
                </c:pt>
                <c:pt idx="185" formatCode="0.00_ ">
                  <c:v>142.85714285714286</c:v>
                </c:pt>
                <c:pt idx="186" formatCode="0.00_ ">
                  <c:v>154.76190476190476</c:v>
                </c:pt>
                <c:pt idx="187" formatCode="0.00_ ">
                  <c:v>166.66666666666666</c:v>
                </c:pt>
                <c:pt idx="188" formatCode="0.00_ ">
                  <c:v>178.57142857142858</c:v>
                </c:pt>
                <c:pt idx="189" formatCode="0.00_ ">
                  <c:v>190.47619047619048</c:v>
                </c:pt>
                <c:pt idx="190" formatCode="0.00_ ">
                  <c:v>202.38095238095238</c:v>
                </c:pt>
                <c:pt idx="191" formatCode="0.00_ ">
                  <c:v>214.28571428571428</c:v>
                </c:pt>
                <c:pt idx="192" formatCode="0.00_ ">
                  <c:v>238.0952380952381</c:v>
                </c:pt>
                <c:pt idx="193" formatCode="0.00_ ">
                  <c:v>267.85714285714283</c:v>
                </c:pt>
                <c:pt idx="194" formatCode="0.00_ ">
                  <c:v>297.61904761904759</c:v>
                </c:pt>
                <c:pt idx="195" formatCode="0.00_ ">
                  <c:v>327.38095238095241</c:v>
                </c:pt>
                <c:pt idx="196" formatCode="0.00_ ">
                  <c:v>357.14285714285717</c:v>
                </c:pt>
                <c:pt idx="197" formatCode="0.00_ ">
                  <c:v>386.90476190476193</c:v>
                </c:pt>
                <c:pt idx="198" formatCode="0.00_ ">
                  <c:v>416.66666666666669</c:v>
                </c:pt>
                <c:pt idx="199" formatCode="0.00_ ">
                  <c:v>446.42857142857144</c:v>
                </c:pt>
                <c:pt idx="200" formatCode="0.00_ ">
                  <c:v>476.1904761904762</c:v>
                </c:pt>
                <c:pt idx="201" formatCode="0.00_ ">
                  <c:v>535.71428571428567</c:v>
                </c:pt>
                <c:pt idx="202" formatCode="0.00_ ">
                  <c:v>595.23809523809518</c:v>
                </c:pt>
                <c:pt idx="203" formatCode="0.00_ ">
                  <c:v>654.76190476190482</c:v>
                </c:pt>
                <c:pt idx="204" formatCode="0.00_ ">
                  <c:v>714.28571428571433</c:v>
                </c:pt>
                <c:pt idx="205" formatCode="0.00_ ">
                  <c:v>773.80952380952385</c:v>
                </c:pt>
                <c:pt idx="206" formatCode="0.00_ ">
                  <c:v>833.33333333333337</c:v>
                </c:pt>
                <c:pt idx="207" formatCode="0.00_ ">
                  <c:v>952.38095238095241</c:v>
                </c:pt>
                <c:pt idx="208" formatCode="0.00_ ">
                  <c:v>1000</c:v>
                </c:pt>
              </c:numCache>
            </c:numRef>
          </c:xVal>
          <c:yVal>
            <c:numRef>
              <c:f>'dbg30'!$AF$11:$AF$219</c:f>
              <c:numCache>
                <c:formatCode>0.000_ </c:formatCode>
                <c:ptCount val="20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13.671452702702702</c:v>
                </c:pt>
                <c:pt idx="110">
                  <c:v>14.307605177993528</c:v>
                </c:pt>
                <c:pt idx="111">
                  <c:v>14.959119496855344</c:v>
                </c:pt>
                <c:pt idx="112">
                  <c:v>15.627547770700637</c:v>
                </c:pt>
                <c:pt idx="113">
                  <c:v>16.283333333333331</c:v>
                </c:pt>
                <c:pt idx="114">
                  <c:v>17.596153846153843</c:v>
                </c:pt>
                <c:pt idx="115">
                  <c:v>19.15909090909091</c:v>
                </c:pt>
                <c:pt idx="116">
                  <c:v>20.642857142857146</c:v>
                </c:pt>
                <c:pt idx="117">
                  <c:v>22.05263157894737</c:v>
                </c:pt>
                <c:pt idx="118">
                  <c:v>23.375</c:v>
                </c:pt>
                <c:pt idx="119">
                  <c:v>24.65625</c:v>
                </c:pt>
                <c:pt idx="120">
                  <c:v>25.821428571428569</c:v>
                </c:pt>
                <c:pt idx="121">
                  <c:v>26.981481481481485</c:v>
                </c:pt>
                <c:pt idx="122">
                  <c:v>28.080000000000002</c:v>
                </c:pt>
                <c:pt idx="123">
                  <c:v>30.045454545454543</c:v>
                </c:pt>
                <c:pt idx="124">
                  <c:v>31.846153846153847</c:v>
                </c:pt>
                <c:pt idx="125">
                  <c:v>33.457446808510639</c:v>
                </c:pt>
                <c:pt idx="126">
                  <c:v>34.821428571428569</c:v>
                </c:pt>
                <c:pt idx="127">
                  <c:v>36.036585365853661</c:v>
                </c:pt>
                <c:pt idx="128">
                  <c:v>37.17948717948719</c:v>
                </c:pt>
                <c:pt idx="129">
                  <c:v>39.014084507042249</c:v>
                </c:pt>
                <c:pt idx="130">
                  <c:v>40.588235294117645</c:v>
                </c:pt>
                <c:pt idx="131">
                  <c:v>41.846153846153847</c:v>
                </c:pt>
                <c:pt idx="132">
                  <c:v>42.868852459016388</c:v>
                </c:pt>
                <c:pt idx="133">
                  <c:v>43.719008264462822</c:v>
                </c:pt>
                <c:pt idx="134">
                  <c:v>44.529914529914549</c:v>
                </c:pt>
                <c:pt idx="135">
                  <c:v>45.087719298245631</c:v>
                </c:pt>
                <c:pt idx="136">
                  <c:v>45.663716814159308</c:v>
                </c:pt>
                <c:pt idx="137">
                  <c:v>46.126126126126124</c:v>
                </c:pt>
                <c:pt idx="138">
                  <c:v>46.513761467889879</c:v>
                </c:pt>
                <c:pt idx="139">
                  <c:v>46.880733944954109</c:v>
                </c:pt>
                <c:pt idx="140">
                  <c:v>47.383177570093451</c:v>
                </c:pt>
                <c:pt idx="141">
                  <c:v>47.47619047619046</c:v>
                </c:pt>
                <c:pt idx="142">
                  <c:v>47.348484848484894</c:v>
                </c:pt>
                <c:pt idx="143">
                  <c:v>47.253787878787861</c:v>
                </c:pt>
                <c:pt idx="144">
                  <c:v>46.981132075471727</c:v>
                </c:pt>
                <c:pt idx="145">
                  <c:v>46.722846441947596</c:v>
                </c:pt>
                <c:pt idx="146">
                  <c:v>46.361940298507484</c:v>
                </c:pt>
                <c:pt idx="147">
                  <c:v>45.940959409594051</c:v>
                </c:pt>
                <c:pt idx="148">
                  <c:v>45.512820512820497</c:v>
                </c:pt>
                <c:pt idx="149">
                  <c:v>44.483985765124572</c:v>
                </c:pt>
                <c:pt idx="150">
                  <c:v>43.554006968641133</c:v>
                </c:pt>
                <c:pt idx="151">
                  <c:v>42.517006802721127</c:v>
                </c:pt>
                <c:pt idx="152">
                  <c:v>41.459369817578832</c:v>
                </c:pt>
                <c:pt idx="153">
                  <c:v>40.453074433656923</c:v>
                </c:pt>
                <c:pt idx="154">
                  <c:v>39.370078740157552</c:v>
                </c:pt>
                <c:pt idx="155">
                  <c:v>37.965072133637051</c:v>
                </c:pt>
                <c:pt idx="156">
                  <c:v>36.101083032490948</c:v>
                </c:pt>
                <c:pt idx="157">
                  <c:v>34.387895460797864</c:v>
                </c:pt>
                <c:pt idx="158">
                  <c:v>32.765399737876784</c:v>
                </c:pt>
                <c:pt idx="159">
                  <c:v>31.289111389236488</c:v>
                </c:pt>
                <c:pt idx="160">
                  <c:v>29.922202274087368</c:v>
                </c:pt>
                <c:pt idx="161">
                  <c:v>28.636884306987398</c:v>
                </c:pt>
                <c:pt idx="162">
                  <c:v>27.45744096650192</c:v>
                </c:pt>
                <c:pt idx="163">
                  <c:v>26.385224274406326</c:v>
                </c:pt>
                <c:pt idx="164">
                  <c:v>25.367833587011575</c:v>
                </c:pt>
                <c:pt idx="165">
                  <c:v>24.437927663734129</c:v>
                </c:pt>
                <c:pt idx="166">
                  <c:v>23.207240659085684</c:v>
                </c:pt>
                <c:pt idx="167">
                  <c:v>21.626297577854515</c:v>
                </c:pt>
                <c:pt idx="168">
                  <c:v>20.210185933710576</c:v>
                </c:pt>
                <c:pt idx="169">
                  <c:v>19.008515815085445</c:v>
                </c:pt>
                <c:pt idx="170">
                  <c:v>17.913442247062022</c:v>
                </c:pt>
                <c:pt idx="171">
                  <c:v>16.946854663774133</c:v>
                </c:pt>
                <c:pt idx="172">
                  <c:v>16.093729882837437</c:v>
                </c:pt>
                <c:pt idx="173">
                  <c:v>15.331779712989032</c:v>
                </c:pt>
                <c:pt idx="174">
                  <c:v>14.65244402766379</c:v>
                </c:pt>
                <c:pt idx="175">
                  <c:v>13.589910850184793</c:v>
                </c:pt>
                <c:pt idx="176">
                  <c:v>13.157894736842223</c:v>
                </c:pt>
                <c:pt idx="177">
                  <c:v>11.904761904761585</c:v>
                </c:pt>
                <c:pt idx="178">
                  <c:v>10.869565217390857</c:v>
                </c:pt>
                <c:pt idx="179">
                  <c:v>10.416666666666686</c:v>
                </c:pt>
                <c:pt idx="180">
                  <c:v>10.000000000000114</c:v>
                </c:pt>
                <c:pt idx="181">
                  <c:v>9.4339622641515462</c:v>
                </c:pt>
                <c:pt idx="182">
                  <c:v>8.4745762711864359</c:v>
                </c:pt>
                <c:pt idx="183">
                  <c:v>7.9365079365077236</c:v>
                </c:pt>
                <c:pt idx="184">
                  <c:v>7.3529411764700399</c:v>
                </c:pt>
                <c:pt idx="185">
                  <c:v>6.9444444444436613</c:v>
                </c:pt>
                <c:pt idx="186">
                  <c:v>6.4935064935069704</c:v>
                </c:pt>
                <c:pt idx="187">
                  <c:v>6.2499999999997726</c:v>
                </c:pt>
                <c:pt idx="188">
                  <c:v>5.9523809523819864</c:v>
                </c:pt>
                <c:pt idx="189">
                  <c:v>5.7471264367821959</c:v>
                </c:pt>
                <c:pt idx="190">
                  <c:v>5.4347826086948317</c:v>
                </c:pt>
                <c:pt idx="191">
                  <c:v>5.3191489361702224</c:v>
                </c:pt>
                <c:pt idx="192">
                  <c:v>5.0251256281402448</c:v>
                </c:pt>
                <c:pt idx="193">
                  <c:v>4.7169811320745794</c:v>
                </c:pt>
                <c:pt idx="194">
                  <c:v>4.416961130740674</c:v>
                </c:pt>
                <c:pt idx="195">
                  <c:v>4.1946308724855044</c:v>
                </c:pt>
                <c:pt idx="196">
                  <c:v>3.9936102236438273</c:v>
                </c:pt>
                <c:pt idx="197">
                  <c:v>3.8343558282213053</c:v>
                </c:pt>
                <c:pt idx="198">
                  <c:v>3.6982248520719168</c:v>
                </c:pt>
                <c:pt idx="199">
                  <c:v>3.5714285714277594</c:v>
                </c:pt>
                <c:pt idx="200">
                  <c:v>3.4722222222242181</c:v>
                </c:pt>
                <c:pt idx="201">
                  <c:v>3.346720214193283</c:v>
                </c:pt>
                <c:pt idx="202">
                  <c:v>3.2010243277891277</c:v>
                </c:pt>
                <c:pt idx="203">
                  <c:v>3.0902348578538295</c:v>
                </c:pt>
                <c:pt idx="204">
                  <c:v>2.997601918465989</c:v>
                </c:pt>
                <c:pt idx="205">
                  <c:v>2.9239766081827838</c:v>
                </c:pt>
                <c:pt idx="206">
                  <c:v>2.8604118993125667</c:v>
                </c:pt>
                <c:pt idx="207">
                  <c:v>2.7886224205271901</c:v>
                </c:pt>
                <c:pt idx="208">
                  <c:v>2.7322404371625453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7B5-47B7-A394-65373099B632}"/>
            </c:ext>
          </c:extLst>
        </c:ser>
        <c:ser>
          <c:idx val="4"/>
          <c:order val="3"/>
          <c:tx>
            <c:v>ws2 dEt2 stop</c:v>
          </c:tx>
          <c:spPr>
            <a:ln w="12700">
              <a:solidFill>
                <a:srgbClr val="0070C0"/>
              </a:solidFill>
            </a:ln>
          </c:spPr>
          <c:marker>
            <c:symbol val="triangle"/>
            <c:size val="3"/>
            <c:spPr>
              <a:solidFill>
                <a:srgbClr val="0070C0"/>
              </a:solidFill>
              <a:ln>
                <a:noFill/>
              </a:ln>
            </c:spPr>
          </c:marker>
          <c:xVal>
            <c:numRef>
              <c:f>'dbg30'!$Z$11:$Z$219</c:f>
              <c:numCache>
                <c:formatCode>0.00000_ </c:formatCode>
                <c:ptCount val="209"/>
                <c:pt idx="0">
                  <c:v>1.071427380952381E-5</c:v>
                </c:pt>
                <c:pt idx="1">
                  <c:v>1.1904750000000002E-5</c:v>
                </c:pt>
                <c:pt idx="2">
                  <c:v>1.3095238095238096E-5</c:v>
                </c:pt>
                <c:pt idx="3">
                  <c:v>1.4285714285714284E-5</c:v>
                </c:pt>
                <c:pt idx="4">
                  <c:v>1.5476190476190476E-5</c:v>
                </c:pt>
                <c:pt idx="5">
                  <c:v>1.6666666666666667E-5</c:v>
                </c:pt>
                <c:pt idx="6">
                  <c:v>1.7857142857142858E-5</c:v>
                </c:pt>
                <c:pt idx="7">
                  <c:v>1.9047619047619049E-5</c:v>
                </c:pt>
                <c:pt idx="8">
                  <c:v>2.0238095238095237E-5</c:v>
                </c:pt>
                <c:pt idx="9">
                  <c:v>2.1428571428571428E-5</c:v>
                </c:pt>
                <c:pt idx="10">
                  <c:v>2.380952380952381E-5</c:v>
                </c:pt>
                <c:pt idx="11">
                  <c:v>2.6785714285714284E-5</c:v>
                </c:pt>
                <c:pt idx="12">
                  <c:v>2.9761904761904762E-5</c:v>
                </c:pt>
                <c:pt idx="13">
                  <c:v>3.2738095238095239E-5</c:v>
                </c:pt>
                <c:pt idx="14">
                  <c:v>3.5714285714285717E-5</c:v>
                </c:pt>
                <c:pt idx="15">
                  <c:v>3.8690476190476188E-5</c:v>
                </c:pt>
                <c:pt idx="16">
                  <c:v>4.1666666666666665E-5</c:v>
                </c:pt>
                <c:pt idx="17">
                  <c:v>4.4642857142857143E-5</c:v>
                </c:pt>
                <c:pt idx="18">
                  <c:v>4.761904761904762E-5</c:v>
                </c:pt>
                <c:pt idx="19">
                  <c:v>5.3571428571428569E-5</c:v>
                </c:pt>
                <c:pt idx="20">
                  <c:v>5.9523809523809524E-5</c:v>
                </c:pt>
                <c:pt idx="21">
                  <c:v>6.5476190476190479E-5</c:v>
                </c:pt>
                <c:pt idx="22">
                  <c:v>7.1428571428571434E-5</c:v>
                </c:pt>
                <c:pt idx="23">
                  <c:v>7.7380952380952375E-5</c:v>
                </c:pt>
                <c:pt idx="24">
                  <c:v>8.3333333333333331E-5</c:v>
                </c:pt>
                <c:pt idx="25">
                  <c:v>9.5238095238095241E-5</c:v>
                </c:pt>
                <c:pt idx="26">
                  <c:v>1.0714285714285714E-4</c:v>
                </c:pt>
                <c:pt idx="27">
                  <c:v>1.1904761904761905E-4</c:v>
                </c:pt>
                <c:pt idx="28">
                  <c:v>1.3095238095238096E-4</c:v>
                </c:pt>
                <c:pt idx="29">
                  <c:v>1.4285714285714287E-4</c:v>
                </c:pt>
                <c:pt idx="30">
                  <c:v>1.5476190476190475E-4</c:v>
                </c:pt>
                <c:pt idx="31">
                  <c:v>1.6666666666666666E-4</c:v>
                </c:pt>
                <c:pt idx="32">
                  <c:v>1.7857142857142857E-4</c:v>
                </c:pt>
                <c:pt idx="33">
                  <c:v>1.9047619047619048E-4</c:v>
                </c:pt>
                <c:pt idx="34">
                  <c:v>2.0238095238095239E-4</c:v>
                </c:pt>
                <c:pt idx="35">
                  <c:v>2.1428571428571427E-4</c:v>
                </c:pt>
                <c:pt idx="36">
                  <c:v>2.380952380952381E-4</c:v>
                </c:pt>
                <c:pt idx="37">
                  <c:v>2.6785714285714287E-4</c:v>
                </c:pt>
                <c:pt idx="38">
                  <c:v>2.9761904761904765E-4</c:v>
                </c:pt>
                <c:pt idx="39">
                  <c:v>3.2738095238095237E-4</c:v>
                </c:pt>
                <c:pt idx="40">
                  <c:v>3.5714285714285714E-4</c:v>
                </c:pt>
                <c:pt idx="41">
                  <c:v>3.8690476190476192E-4</c:v>
                </c:pt>
                <c:pt idx="42">
                  <c:v>4.1666666666666669E-4</c:v>
                </c:pt>
                <c:pt idx="43">
                  <c:v>4.4642857142857141E-4</c:v>
                </c:pt>
                <c:pt idx="44">
                  <c:v>4.7619047619047619E-4</c:v>
                </c:pt>
                <c:pt idx="45">
                  <c:v>5.3571428571428574E-4</c:v>
                </c:pt>
                <c:pt idx="46">
                  <c:v>5.9523809523809529E-4</c:v>
                </c:pt>
                <c:pt idx="47">
                  <c:v>6.5476190476190473E-4</c:v>
                </c:pt>
                <c:pt idx="48">
                  <c:v>7.1428571428571429E-4</c:v>
                </c:pt>
                <c:pt idx="49">
                  <c:v>7.7380952380952384E-4</c:v>
                </c:pt>
                <c:pt idx="50">
                  <c:v>8.3333333333333339E-4</c:v>
                </c:pt>
                <c:pt idx="51">
                  <c:v>9.5238095238095238E-4</c:v>
                </c:pt>
                <c:pt idx="52">
                  <c:v>1.0714285714285715E-3</c:v>
                </c:pt>
                <c:pt idx="53">
                  <c:v>1.1904761904761906E-3</c:v>
                </c:pt>
                <c:pt idx="54">
                  <c:v>1.3095238095238095E-3</c:v>
                </c:pt>
                <c:pt idx="55">
                  <c:v>1.4285714285714286E-3</c:v>
                </c:pt>
                <c:pt idx="56">
                  <c:v>1.5476190476190477E-3</c:v>
                </c:pt>
                <c:pt idx="57">
                  <c:v>1.6666666666666668E-3</c:v>
                </c:pt>
                <c:pt idx="58">
                  <c:v>1.7857142857142857E-3</c:v>
                </c:pt>
                <c:pt idx="59">
                  <c:v>1.9047619047619048E-3</c:v>
                </c:pt>
                <c:pt idx="60">
                  <c:v>2.0238095238095241E-3</c:v>
                </c:pt>
                <c:pt idx="61">
                  <c:v>2.142857142857143E-3</c:v>
                </c:pt>
                <c:pt idx="62">
                  <c:v>2.3809523809523812E-3</c:v>
                </c:pt>
                <c:pt idx="63">
                  <c:v>2.6785714285714286E-3</c:v>
                </c:pt>
                <c:pt idx="64">
                  <c:v>2.976190476190476E-3</c:v>
                </c:pt>
                <c:pt idx="65">
                  <c:v>3.2738095238095239E-3</c:v>
                </c:pt>
                <c:pt idx="66">
                  <c:v>3.5714285714285713E-3</c:v>
                </c:pt>
                <c:pt idx="67">
                  <c:v>3.8690476190476192E-3</c:v>
                </c:pt>
                <c:pt idx="68">
                  <c:v>4.1666666666666666E-3</c:v>
                </c:pt>
                <c:pt idx="69">
                  <c:v>4.464285714285714E-3</c:v>
                </c:pt>
                <c:pt idx="70">
                  <c:v>4.7619047619047623E-3</c:v>
                </c:pt>
                <c:pt idx="71">
                  <c:v>5.3571428571428572E-3</c:v>
                </c:pt>
                <c:pt idx="72">
                  <c:v>5.9523809523809521E-3</c:v>
                </c:pt>
                <c:pt idx="73">
                  <c:v>6.5476190476190478E-3</c:v>
                </c:pt>
                <c:pt idx="74">
                  <c:v>7.1428571428571426E-3</c:v>
                </c:pt>
                <c:pt idx="75">
                  <c:v>7.7380952380952384E-3</c:v>
                </c:pt>
                <c:pt idx="76">
                  <c:v>8.3333333333333332E-3</c:v>
                </c:pt>
                <c:pt idx="77">
                  <c:v>9.5238095238095247E-3</c:v>
                </c:pt>
                <c:pt idx="78">
                  <c:v>1.0714285714285714E-2</c:v>
                </c:pt>
                <c:pt idx="79">
                  <c:v>1.1904761904761904E-2</c:v>
                </c:pt>
                <c:pt idx="80">
                  <c:v>1.3095238095238096E-2</c:v>
                </c:pt>
                <c:pt idx="81">
                  <c:v>1.4285714285714285E-2</c:v>
                </c:pt>
                <c:pt idx="82">
                  <c:v>1.5476190476190477E-2</c:v>
                </c:pt>
                <c:pt idx="83">
                  <c:v>1.6666666666666666E-2</c:v>
                </c:pt>
                <c:pt idx="84">
                  <c:v>1.7857142857142856E-2</c:v>
                </c:pt>
                <c:pt idx="85">
                  <c:v>1.9047619047619049E-2</c:v>
                </c:pt>
                <c:pt idx="86">
                  <c:v>2.0238095238095239E-2</c:v>
                </c:pt>
                <c:pt idx="87">
                  <c:v>2.1428571428571429E-2</c:v>
                </c:pt>
                <c:pt idx="88">
                  <c:v>2.3809523809523808E-2</c:v>
                </c:pt>
                <c:pt idx="89">
                  <c:v>2.6785714285714284E-2</c:v>
                </c:pt>
                <c:pt idx="90">
                  <c:v>2.976190476190476E-2</c:v>
                </c:pt>
                <c:pt idx="91">
                  <c:v>3.273809523809524E-2</c:v>
                </c:pt>
                <c:pt idx="92">
                  <c:v>3.5714285714285712E-2</c:v>
                </c:pt>
                <c:pt idx="93">
                  <c:v>3.8690476190476192E-2</c:v>
                </c:pt>
                <c:pt idx="94">
                  <c:v>4.1666666666666664E-2</c:v>
                </c:pt>
                <c:pt idx="95">
                  <c:v>4.4642857142857144E-2</c:v>
                </c:pt>
                <c:pt idx="96">
                  <c:v>4.7619047619047616E-2</c:v>
                </c:pt>
                <c:pt idx="97">
                  <c:v>5.3571428571428568E-2</c:v>
                </c:pt>
                <c:pt idx="98">
                  <c:v>5.9523809523809521E-2</c:v>
                </c:pt>
                <c:pt idx="99">
                  <c:v>6.5476190476190479E-2</c:v>
                </c:pt>
                <c:pt idx="100">
                  <c:v>7.1428571428571425E-2</c:v>
                </c:pt>
                <c:pt idx="101">
                  <c:v>7.7380952380952384E-2</c:v>
                </c:pt>
                <c:pt idx="102">
                  <c:v>8.3333333333333329E-2</c:v>
                </c:pt>
                <c:pt idx="103">
                  <c:v>9.5238095238095233E-2</c:v>
                </c:pt>
                <c:pt idx="104">
                  <c:v>0.10714285714285714</c:v>
                </c:pt>
                <c:pt idx="105">
                  <c:v>0.11904761904761904</c:v>
                </c:pt>
                <c:pt idx="106">
                  <c:v>0.13095238095238096</c:v>
                </c:pt>
                <c:pt idx="107">
                  <c:v>0.14285714285714285</c:v>
                </c:pt>
                <c:pt idx="108">
                  <c:v>0.15476190476190477</c:v>
                </c:pt>
                <c:pt idx="109">
                  <c:v>0.16666666666666666</c:v>
                </c:pt>
                <c:pt idx="110">
                  <c:v>0.17857142857142858</c:v>
                </c:pt>
                <c:pt idx="111">
                  <c:v>0.19047619047619047</c:v>
                </c:pt>
                <c:pt idx="112">
                  <c:v>0.20238095238095238</c:v>
                </c:pt>
                <c:pt idx="113">
                  <c:v>0.21428571428571427</c:v>
                </c:pt>
                <c:pt idx="114">
                  <c:v>0.23809523809523808</c:v>
                </c:pt>
                <c:pt idx="115">
                  <c:v>0.26785714285714285</c:v>
                </c:pt>
                <c:pt idx="116">
                  <c:v>0.29761904761904762</c:v>
                </c:pt>
                <c:pt idx="117">
                  <c:v>0.32738095238095238</c:v>
                </c:pt>
                <c:pt idx="118">
                  <c:v>0.35714285714285715</c:v>
                </c:pt>
                <c:pt idx="119">
                  <c:v>0.38690476190476192</c:v>
                </c:pt>
                <c:pt idx="120">
                  <c:v>0.41666666666666669</c:v>
                </c:pt>
                <c:pt idx="121">
                  <c:v>0.44642857142857145</c:v>
                </c:pt>
                <c:pt idx="122">
                  <c:v>0.47619047619047616</c:v>
                </c:pt>
                <c:pt idx="123">
                  <c:v>0.5357142857142857</c:v>
                </c:pt>
                <c:pt idx="124">
                  <c:v>0.59523809523809523</c:v>
                </c:pt>
                <c:pt idx="125">
                  <c:v>0.65476190476190477</c:v>
                </c:pt>
                <c:pt idx="126">
                  <c:v>0.7142857142857143</c:v>
                </c:pt>
                <c:pt idx="127">
                  <c:v>0.77380952380952384</c:v>
                </c:pt>
                <c:pt idx="128">
                  <c:v>0.83333333333333337</c:v>
                </c:pt>
                <c:pt idx="129">
                  <c:v>0.95238095238095233</c:v>
                </c:pt>
                <c:pt idx="130" formatCode="0.000_ ">
                  <c:v>1.0714285714285714</c:v>
                </c:pt>
                <c:pt idx="131" formatCode="0.000_ ">
                  <c:v>1.1904761904761905</c:v>
                </c:pt>
                <c:pt idx="132" formatCode="0.000_ ">
                  <c:v>1.3095238095238095</c:v>
                </c:pt>
                <c:pt idx="133" formatCode="0.000_ ">
                  <c:v>1.4285714285714286</c:v>
                </c:pt>
                <c:pt idx="134" formatCode="0.000_ ">
                  <c:v>1.5476190476190477</c:v>
                </c:pt>
                <c:pt idx="135" formatCode="0.000_ ">
                  <c:v>1.6666666666666667</c:v>
                </c:pt>
                <c:pt idx="136" formatCode="0.000_ ">
                  <c:v>1.7857142857142858</c:v>
                </c:pt>
                <c:pt idx="137" formatCode="0.000_ ">
                  <c:v>1.9047619047619047</c:v>
                </c:pt>
                <c:pt idx="138" formatCode="0.000_ ">
                  <c:v>2.0238095238095237</c:v>
                </c:pt>
                <c:pt idx="139" formatCode="0.000_ ">
                  <c:v>2.1428571428571428</c:v>
                </c:pt>
                <c:pt idx="140" formatCode="0.000_ ">
                  <c:v>2.3809523809523809</c:v>
                </c:pt>
                <c:pt idx="141" formatCode="0.000_ ">
                  <c:v>2.6785714285714284</c:v>
                </c:pt>
                <c:pt idx="142" formatCode="0.000_ ">
                  <c:v>2.9761904761904763</c:v>
                </c:pt>
                <c:pt idx="143" formatCode="0.000_ ">
                  <c:v>3.2738095238095237</c:v>
                </c:pt>
                <c:pt idx="144" formatCode="0.000_ ">
                  <c:v>3.5714285714285716</c:v>
                </c:pt>
                <c:pt idx="145" formatCode="0.000_ ">
                  <c:v>3.8690476190476191</c:v>
                </c:pt>
                <c:pt idx="146" formatCode="0.000_ ">
                  <c:v>4.166666666666667</c:v>
                </c:pt>
                <c:pt idx="147" formatCode="0.000_ ">
                  <c:v>4.4642857142857144</c:v>
                </c:pt>
                <c:pt idx="148" formatCode="0.000_ ">
                  <c:v>4.7619047619047619</c:v>
                </c:pt>
                <c:pt idx="149" formatCode="0.000_ ">
                  <c:v>5.3571428571428568</c:v>
                </c:pt>
                <c:pt idx="150" formatCode="0.000_ ">
                  <c:v>5.9523809523809526</c:v>
                </c:pt>
                <c:pt idx="151" formatCode="0.000_ ">
                  <c:v>6.5476190476190474</c:v>
                </c:pt>
                <c:pt idx="152" formatCode="0.000_ ">
                  <c:v>7.1428571428571432</c:v>
                </c:pt>
                <c:pt idx="153" formatCode="0.000_ ">
                  <c:v>7.7380952380952381</c:v>
                </c:pt>
                <c:pt idx="154" formatCode="0.000_ ">
                  <c:v>8.3333333333333339</c:v>
                </c:pt>
                <c:pt idx="155" formatCode="0.000_ ">
                  <c:v>9.5238095238095237</c:v>
                </c:pt>
                <c:pt idx="156" formatCode="0.000_ ">
                  <c:v>10.714285714285714</c:v>
                </c:pt>
                <c:pt idx="157" formatCode="0.000_ ">
                  <c:v>11.904761904761905</c:v>
                </c:pt>
                <c:pt idx="158" formatCode="0.000_ ">
                  <c:v>13.095238095238095</c:v>
                </c:pt>
                <c:pt idx="159" formatCode="0.000_ ">
                  <c:v>14.285714285714286</c:v>
                </c:pt>
                <c:pt idx="160" formatCode="0.000_ ">
                  <c:v>15.476190476190476</c:v>
                </c:pt>
                <c:pt idx="161" formatCode="0.000_ ">
                  <c:v>16.666666666666668</c:v>
                </c:pt>
                <c:pt idx="162" formatCode="0.000_ ">
                  <c:v>17.857142857142858</c:v>
                </c:pt>
                <c:pt idx="163" formatCode="0.000_ ">
                  <c:v>19.047619047619047</c:v>
                </c:pt>
                <c:pt idx="164" formatCode="0.000_ ">
                  <c:v>20.238095238095237</c:v>
                </c:pt>
                <c:pt idx="165" formatCode="0.000_ ">
                  <c:v>21.428571428571427</c:v>
                </c:pt>
                <c:pt idx="166" formatCode="0.000_ ">
                  <c:v>23.80952380952381</c:v>
                </c:pt>
                <c:pt idx="167" formatCode="0.000_ ">
                  <c:v>26.785714285714285</c:v>
                </c:pt>
                <c:pt idx="168" formatCode="0.000_ ">
                  <c:v>29.761904761904763</c:v>
                </c:pt>
                <c:pt idx="169" formatCode="0.000_ ">
                  <c:v>32.738095238095241</c:v>
                </c:pt>
                <c:pt idx="170" formatCode="0.000_ ">
                  <c:v>35.714285714285715</c:v>
                </c:pt>
                <c:pt idx="171" formatCode="0.000_ ">
                  <c:v>38.69047619047619</c:v>
                </c:pt>
                <c:pt idx="172" formatCode="0.000_ ">
                  <c:v>41.666666666666664</c:v>
                </c:pt>
                <c:pt idx="173" formatCode="0.000_ ">
                  <c:v>44.642857142857146</c:v>
                </c:pt>
                <c:pt idx="174" formatCode="0.000_ ">
                  <c:v>47.61904761904762</c:v>
                </c:pt>
                <c:pt idx="175" formatCode="0.000_ ">
                  <c:v>53.571428571428569</c:v>
                </c:pt>
                <c:pt idx="176" formatCode="0.000_ ">
                  <c:v>59.523809523809526</c:v>
                </c:pt>
                <c:pt idx="177" formatCode="0.000_ ">
                  <c:v>65.476190476190482</c:v>
                </c:pt>
                <c:pt idx="178" formatCode="0.000_ ">
                  <c:v>71.428571428571431</c:v>
                </c:pt>
                <c:pt idx="179" formatCode="0.000_ ">
                  <c:v>77.38095238095238</c:v>
                </c:pt>
                <c:pt idx="180" formatCode="0.000_ ">
                  <c:v>83.333333333333329</c:v>
                </c:pt>
                <c:pt idx="181" formatCode="0.000_ ">
                  <c:v>95.238095238095241</c:v>
                </c:pt>
                <c:pt idx="182" formatCode="0.00_ ">
                  <c:v>107.14285714285714</c:v>
                </c:pt>
                <c:pt idx="183" formatCode="0.00_ ">
                  <c:v>119.04761904761905</c:v>
                </c:pt>
                <c:pt idx="184" formatCode="0.00_ ">
                  <c:v>130.95238095238096</c:v>
                </c:pt>
                <c:pt idx="185" formatCode="0.00_ ">
                  <c:v>142.85714285714286</c:v>
                </c:pt>
                <c:pt idx="186" formatCode="0.00_ ">
                  <c:v>154.76190476190476</c:v>
                </c:pt>
                <c:pt idx="187" formatCode="0.00_ ">
                  <c:v>166.66666666666666</c:v>
                </c:pt>
                <c:pt idx="188" formatCode="0.00_ ">
                  <c:v>178.57142857142858</c:v>
                </c:pt>
                <c:pt idx="189" formatCode="0.00_ ">
                  <c:v>190.47619047619048</c:v>
                </c:pt>
                <c:pt idx="190" formatCode="0.00_ ">
                  <c:v>202.38095238095238</c:v>
                </c:pt>
                <c:pt idx="191" formatCode="0.00_ ">
                  <c:v>214.28571428571428</c:v>
                </c:pt>
                <c:pt idx="192" formatCode="0.00_ ">
                  <c:v>238.0952380952381</c:v>
                </c:pt>
                <c:pt idx="193" formatCode="0.00_ ">
                  <c:v>267.85714285714283</c:v>
                </c:pt>
                <c:pt idx="194" formatCode="0.00_ ">
                  <c:v>297.61904761904759</c:v>
                </c:pt>
                <c:pt idx="195" formatCode="0.00_ ">
                  <c:v>327.38095238095241</c:v>
                </c:pt>
                <c:pt idx="196" formatCode="0.00_ ">
                  <c:v>357.14285714285717</c:v>
                </c:pt>
                <c:pt idx="197" formatCode="0.00_ ">
                  <c:v>386.90476190476193</c:v>
                </c:pt>
                <c:pt idx="198" formatCode="0.00_ ">
                  <c:v>416.66666666666669</c:v>
                </c:pt>
                <c:pt idx="199" formatCode="0.00_ ">
                  <c:v>446.42857142857144</c:v>
                </c:pt>
                <c:pt idx="200" formatCode="0.00_ ">
                  <c:v>476.1904761904762</c:v>
                </c:pt>
                <c:pt idx="201" formatCode="0.00_ ">
                  <c:v>535.71428571428567</c:v>
                </c:pt>
                <c:pt idx="202" formatCode="0.00_ ">
                  <c:v>595.23809523809518</c:v>
                </c:pt>
                <c:pt idx="203" formatCode="0.00_ ">
                  <c:v>654.76190476190482</c:v>
                </c:pt>
                <c:pt idx="204" formatCode="0.00_ ">
                  <c:v>714.28571428571433</c:v>
                </c:pt>
                <c:pt idx="205" formatCode="0.00_ ">
                  <c:v>773.80952380952385</c:v>
                </c:pt>
                <c:pt idx="206" formatCode="0.00_ ">
                  <c:v>833.33333333333337</c:v>
                </c:pt>
                <c:pt idx="207" formatCode="0.00_ ">
                  <c:v>952.38095238095241</c:v>
                </c:pt>
                <c:pt idx="208" formatCode="0.00_ ">
                  <c:v>1000</c:v>
                </c:pt>
              </c:numCache>
            </c:numRef>
          </c:xVal>
          <c:yVal>
            <c:numRef>
              <c:f>'dbg30'!$AG$11:$AG$219</c:f>
              <c:numCache>
                <c:formatCode>0.000_ </c:formatCode>
                <c:ptCount val="209"/>
                <c:pt idx="0">
                  <c:v>8.9999900000000007E-4</c:v>
                </c:pt>
                <c:pt idx="1">
                  <c:v>9.9999900000000011E-4</c:v>
                </c:pt>
                <c:pt idx="2">
                  <c:v>1.1000000000000001E-3</c:v>
                </c:pt>
                <c:pt idx="3">
                  <c:v>1.1999999999999999E-3</c:v>
                </c:pt>
                <c:pt idx="4">
                  <c:v>1.2999999999999999E-3</c:v>
                </c:pt>
                <c:pt idx="5">
                  <c:v>1.4E-3</c:v>
                </c:pt>
                <c:pt idx="6">
                  <c:v>1.5E-3</c:v>
                </c:pt>
                <c:pt idx="7">
                  <c:v>1.6000000000000001E-3</c:v>
                </c:pt>
                <c:pt idx="8">
                  <c:v>1.6999999999999999E-3</c:v>
                </c:pt>
                <c:pt idx="9">
                  <c:v>1.8E-3</c:v>
                </c:pt>
                <c:pt idx="10">
                  <c:v>2E-3</c:v>
                </c:pt>
                <c:pt idx="11">
                  <c:v>2.2499999999999998E-3</c:v>
                </c:pt>
                <c:pt idx="12">
                  <c:v>2.5000000000000001E-3</c:v>
                </c:pt>
                <c:pt idx="13">
                  <c:v>2.7500000000000003E-3</c:v>
                </c:pt>
                <c:pt idx="14">
                  <c:v>3.0000000000000001E-3</c:v>
                </c:pt>
                <c:pt idx="15">
                  <c:v>3.2499999999999999E-3</c:v>
                </c:pt>
                <c:pt idx="16">
                  <c:v>3.5000000000000001E-3</c:v>
                </c:pt>
                <c:pt idx="17">
                  <c:v>3.7499999999999999E-3</c:v>
                </c:pt>
                <c:pt idx="18">
                  <c:v>4.0000000000000001E-3</c:v>
                </c:pt>
                <c:pt idx="19">
                  <c:v>4.4999999999999997E-3</c:v>
                </c:pt>
                <c:pt idx="20">
                  <c:v>5.0000000000000001E-3</c:v>
                </c:pt>
                <c:pt idx="21">
                  <c:v>5.5000000000000005E-3</c:v>
                </c:pt>
                <c:pt idx="22">
                  <c:v>6.0000000000000001E-3</c:v>
                </c:pt>
                <c:pt idx="23">
                  <c:v>6.4999999999999997E-3</c:v>
                </c:pt>
                <c:pt idx="24">
                  <c:v>7.0000000000000001E-3</c:v>
                </c:pt>
                <c:pt idx="25">
                  <c:v>8.0000000000000002E-3</c:v>
                </c:pt>
                <c:pt idx="26">
                  <c:v>8.9999999999999993E-3</c:v>
                </c:pt>
                <c:pt idx="27">
                  <c:v>0.01</c:v>
                </c:pt>
                <c:pt idx="28">
                  <c:v>1.1000000000000001E-2</c:v>
                </c:pt>
                <c:pt idx="29">
                  <c:v>1.2E-2</c:v>
                </c:pt>
                <c:pt idx="30">
                  <c:v>1.2999999999999999E-2</c:v>
                </c:pt>
                <c:pt idx="31">
                  <c:v>1.4E-2</c:v>
                </c:pt>
                <c:pt idx="32">
                  <c:v>1.4999999999999999E-2</c:v>
                </c:pt>
                <c:pt idx="33">
                  <c:v>1.6E-2</c:v>
                </c:pt>
                <c:pt idx="34">
                  <c:v>1.7000000000000001E-2</c:v>
                </c:pt>
                <c:pt idx="35">
                  <c:v>1.7999999999999999E-2</c:v>
                </c:pt>
                <c:pt idx="36">
                  <c:v>0.02</c:v>
                </c:pt>
                <c:pt idx="37">
                  <c:v>2.2500000000000003E-2</c:v>
                </c:pt>
                <c:pt idx="38">
                  <c:v>2.5000000000000001E-2</c:v>
                </c:pt>
                <c:pt idx="39">
                  <c:v>2.75E-2</c:v>
                </c:pt>
                <c:pt idx="40">
                  <c:v>0.03</c:v>
                </c:pt>
                <c:pt idx="41">
                  <c:v>3.2500000000000001E-2</c:v>
                </c:pt>
                <c:pt idx="42">
                  <c:v>3.5000000000000003E-2</c:v>
                </c:pt>
                <c:pt idx="43">
                  <c:v>3.7499999999999999E-2</c:v>
                </c:pt>
                <c:pt idx="44">
                  <c:v>0.04</c:v>
                </c:pt>
                <c:pt idx="45">
                  <c:v>4.5000000000000005E-2</c:v>
                </c:pt>
                <c:pt idx="46">
                  <c:v>0.05</c:v>
                </c:pt>
                <c:pt idx="47">
                  <c:v>5.5E-2</c:v>
                </c:pt>
                <c:pt idx="48">
                  <c:v>0.06</c:v>
                </c:pt>
                <c:pt idx="49">
                  <c:v>6.5000000000000002E-2</c:v>
                </c:pt>
                <c:pt idx="50">
                  <c:v>7.0000000000000007E-2</c:v>
                </c:pt>
                <c:pt idx="51">
                  <c:v>0.08</c:v>
                </c:pt>
                <c:pt idx="52">
                  <c:v>9.0000000000000011E-2</c:v>
                </c:pt>
                <c:pt idx="53">
                  <c:v>0.1</c:v>
                </c:pt>
                <c:pt idx="54">
                  <c:v>0.11</c:v>
                </c:pt>
                <c:pt idx="55">
                  <c:v>0.12</c:v>
                </c:pt>
                <c:pt idx="56">
                  <c:v>0.13</c:v>
                </c:pt>
                <c:pt idx="57">
                  <c:v>0.14000000000000001</c:v>
                </c:pt>
                <c:pt idx="58">
                  <c:v>0.15</c:v>
                </c:pt>
                <c:pt idx="59">
                  <c:v>0.16</c:v>
                </c:pt>
                <c:pt idx="60">
                  <c:v>0.17</c:v>
                </c:pt>
                <c:pt idx="61">
                  <c:v>0.18000000000000002</c:v>
                </c:pt>
                <c:pt idx="62">
                  <c:v>0.2</c:v>
                </c:pt>
                <c:pt idx="63">
                  <c:v>0.22500000000000001</c:v>
                </c:pt>
                <c:pt idx="64">
                  <c:v>0.25</c:v>
                </c:pt>
                <c:pt idx="65">
                  <c:v>0.27500000000000002</c:v>
                </c:pt>
                <c:pt idx="66">
                  <c:v>0.3</c:v>
                </c:pt>
                <c:pt idx="67">
                  <c:v>0.32500000000000001</c:v>
                </c:pt>
                <c:pt idx="68">
                  <c:v>0.35</c:v>
                </c:pt>
                <c:pt idx="69">
                  <c:v>0.375</c:v>
                </c:pt>
                <c:pt idx="70">
                  <c:v>0.4</c:v>
                </c:pt>
                <c:pt idx="71">
                  <c:v>0.45</c:v>
                </c:pt>
                <c:pt idx="72">
                  <c:v>0.5</c:v>
                </c:pt>
                <c:pt idx="73">
                  <c:v>0.55000000000000004</c:v>
                </c:pt>
                <c:pt idx="74">
                  <c:v>0.6</c:v>
                </c:pt>
                <c:pt idx="75">
                  <c:v>0.65</c:v>
                </c:pt>
                <c:pt idx="76">
                  <c:v>0.7</c:v>
                </c:pt>
                <c:pt idx="77">
                  <c:v>0.8</c:v>
                </c:pt>
                <c:pt idx="78">
                  <c:v>0.9</c:v>
                </c:pt>
                <c:pt idx="79">
                  <c:v>1</c:v>
                </c:pt>
                <c:pt idx="80">
                  <c:v>1.1000000000000001</c:v>
                </c:pt>
                <c:pt idx="81">
                  <c:v>1.2</c:v>
                </c:pt>
                <c:pt idx="82">
                  <c:v>1.3</c:v>
                </c:pt>
                <c:pt idx="83">
                  <c:v>1.4</c:v>
                </c:pt>
                <c:pt idx="84">
                  <c:v>1.5</c:v>
                </c:pt>
                <c:pt idx="85">
                  <c:v>1.6</c:v>
                </c:pt>
                <c:pt idx="86">
                  <c:v>1.7000000000000002</c:v>
                </c:pt>
                <c:pt idx="87">
                  <c:v>1.8</c:v>
                </c:pt>
                <c:pt idx="88">
                  <c:v>2</c:v>
                </c:pt>
                <c:pt idx="89">
                  <c:v>2.25</c:v>
                </c:pt>
                <c:pt idx="90">
                  <c:v>2.5</c:v>
                </c:pt>
                <c:pt idx="91">
                  <c:v>2.75</c:v>
                </c:pt>
                <c:pt idx="92">
                  <c:v>3</c:v>
                </c:pt>
                <c:pt idx="93">
                  <c:v>3.25</c:v>
                </c:pt>
                <c:pt idx="94">
                  <c:v>3.5</c:v>
                </c:pt>
                <c:pt idx="95">
                  <c:v>3.75</c:v>
                </c:pt>
                <c:pt idx="96">
                  <c:v>4</c:v>
                </c:pt>
                <c:pt idx="97">
                  <c:v>4.5</c:v>
                </c:pt>
                <c:pt idx="98">
                  <c:v>5</c:v>
                </c:pt>
                <c:pt idx="99">
                  <c:v>5.5</c:v>
                </c:pt>
                <c:pt idx="100">
                  <c:v>6</c:v>
                </c:pt>
                <c:pt idx="101">
                  <c:v>6.5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13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7B5-47B7-A394-65373099B632}"/>
            </c:ext>
          </c:extLst>
        </c:ser>
        <c:ser>
          <c:idx val="5"/>
          <c:order val="4"/>
          <c:tx>
            <c:v>Eu10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'dbg32'!$P$6</c:f>
              <c:numCache>
                <c:formatCode>0.00</c:formatCode>
                <c:ptCount val="1"/>
                <c:pt idx="0">
                  <c:v>0.5</c:v>
                </c:pt>
              </c:numCache>
            </c:numRef>
          </c:xVal>
          <c:yVal>
            <c:numRef>
              <c:f>'dbg32'!$P$13</c:f>
              <c:numCache>
                <c:formatCode>0.000</c:formatCode>
                <c:ptCount val="1"/>
                <c:pt idx="0">
                  <c:v>20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7B5-47B7-A394-65373099B632}"/>
            </c:ext>
          </c:extLst>
        </c:ser>
        <c:ser>
          <c:idx val="0"/>
          <c:order val="5"/>
          <c:tx>
            <c:v>dEt Goal</c:v>
          </c:tx>
          <c:spPr>
            <a:ln w="15875">
              <a:solidFill>
                <a:srgbClr val="FF0000"/>
              </a:solidFill>
            </a:ln>
          </c:spPr>
          <c:marker>
            <c:symbol val="circle"/>
            <c:size val="3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'dbg32'!$O$36:$O$37</c:f>
              <c:numCache>
                <c:formatCode>General</c:formatCode>
                <c:ptCount val="2"/>
                <c:pt idx="0" formatCode="0.00E+00">
                  <c:v>1.071427380952381E-5</c:v>
                </c:pt>
                <c:pt idx="1">
                  <c:v>1000</c:v>
                </c:pt>
              </c:numCache>
            </c:numRef>
          </c:xVal>
          <c:yVal>
            <c:numRef>
              <c:f>'dbg32'!$P$36:$P$37</c:f>
              <c:numCache>
                <c:formatCode>0.000_ ;[Red]\-0.000\ 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7B5-47B7-A394-65373099B632}"/>
            </c:ext>
          </c:extLst>
        </c:ser>
        <c:ser>
          <c:idx val="6"/>
          <c:order val="6"/>
          <c:tx>
            <c:v>E20 stop</c:v>
          </c:tx>
          <c:spPr>
            <a:ln>
              <a:noFill/>
            </a:ln>
          </c:spPr>
          <c:marker>
            <c:symbol val="triangle"/>
            <c:size val="9"/>
            <c:spPr>
              <a:solidFill>
                <a:srgbClr val="0000FF"/>
              </a:solidFill>
              <a:ln>
                <a:noFill/>
              </a:ln>
            </c:spPr>
          </c:marker>
          <c:xVal>
            <c:numRef>
              <c:f>'dbg32'!$P$17</c:f>
              <c:numCache>
                <c:formatCode>0.0000</c:formatCode>
                <c:ptCount val="1"/>
                <c:pt idx="0">
                  <c:v>0.15724206349206349</c:v>
                </c:pt>
              </c:numCache>
            </c:numRef>
          </c:xVal>
          <c:yVal>
            <c:numRef>
              <c:f>'dbg32'!$P$18</c:f>
              <c:numCache>
                <c:formatCode>0.000_ </c:formatCode>
                <c:ptCount val="1"/>
                <c:pt idx="0">
                  <c:v>13.208333333333332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7B5-47B7-A394-65373099B632}"/>
            </c:ext>
          </c:extLst>
        </c:ser>
        <c:ser>
          <c:idx val="7"/>
          <c:order val="7"/>
          <c:tx>
            <c:v>dEt Found (Ehl)</c:v>
          </c:tx>
          <c:spPr>
            <a:ln>
              <a:noFill/>
            </a:ln>
          </c:spPr>
          <c:marker>
            <c:symbol val="x"/>
            <c:size val="9"/>
            <c:spPr>
              <a:noFill/>
              <a:ln>
                <a:solidFill>
                  <a:srgbClr val="FF00FF"/>
                </a:solidFill>
              </a:ln>
            </c:spPr>
          </c:marker>
          <c:xVal>
            <c:numRef>
              <c:f>'dbg32'!$E$22</c:f>
              <c:numCache>
                <c:formatCode>0.000</c:formatCode>
                <c:ptCount val="1"/>
                <c:pt idx="0">
                  <c:v>0.28472439303949149</c:v>
                </c:pt>
              </c:numCache>
            </c:numRef>
          </c:xVal>
          <c:yVal>
            <c:numRef>
              <c:f>'dbg32'!$L$22</c:f>
              <c:numCache>
                <c:formatCode>0.000_ </c:formatCode>
                <c:ptCount val="1"/>
                <c:pt idx="0">
                  <c:v>20.00920031828128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7B5-47B7-A394-65373099B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683224"/>
        <c:axId val="464678128"/>
      </c:scatterChart>
      <c:valAx>
        <c:axId val="464683224"/>
        <c:scaling>
          <c:logBase val="10"/>
          <c:orientation val="minMax"/>
          <c:min val="1.0000000000000002E-3"/>
        </c:scaling>
        <c:delete val="0"/>
        <c:axPos val="b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</c:majorGridlines>
        <c:minorGridlines>
          <c:spPr>
            <a:ln>
              <a:solidFill>
                <a:srgbClr val="CCECFF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800"/>
                </a:pPr>
                <a:r>
                  <a:rPr lang="en-US" sz="800"/>
                  <a:t>Eu10/20 [MeV/u]</a:t>
                </a:r>
                <a:endParaRPr lang="ja-JP" sz="800"/>
              </a:p>
            </c:rich>
          </c:tx>
          <c:layout>
            <c:manualLayout>
              <c:xMode val="edge"/>
              <c:yMode val="edge"/>
              <c:x val="0.72865138888888892"/>
              <c:y val="0.82106319444444442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cross"/>
        <c:minorTickMark val="in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4678128"/>
        <c:crosses val="autoZero"/>
        <c:crossBetween val="midCat"/>
      </c:valAx>
      <c:valAx>
        <c:axId val="464678128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12700">
              <a:solidFill>
                <a:schemeClr val="tx2"/>
              </a:solidFill>
              <a:prstDash val="sysDash"/>
            </a:ln>
          </c:spPr>
        </c:majorGridlines>
        <c:min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800"/>
                </a:pPr>
                <a:r>
                  <a:rPr lang="en-US" sz="800"/>
                  <a:t>dEt1/2</a:t>
                </a:r>
                <a:r>
                  <a:rPr lang="en-US" sz="800" baseline="0"/>
                  <a:t> [MeV/u]</a:t>
                </a:r>
                <a:endParaRPr lang="ja-JP" sz="800"/>
              </a:p>
            </c:rich>
          </c:tx>
          <c:layout>
            <c:manualLayout>
              <c:xMode val="edge"/>
              <c:yMode val="edge"/>
              <c:x val="1.4534166666666667E-2"/>
              <c:y val="0.61555648148148145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cross"/>
        <c:minorTickMark val="out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464683224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3.8438888888888884E-3"/>
          <c:y val="0.84279212962962957"/>
          <c:w val="0.70731944444444439"/>
          <c:h val="0.15544398148148147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3175">
      <a:noFill/>
    </a:ln>
  </c:spPr>
  <c:txPr>
    <a:bodyPr/>
    <a:lstStyle/>
    <a:p>
      <a:pPr>
        <a:defRPr b="0" baseline="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n-US" sz="1000" b="1"/>
              <a:t>Eu</a:t>
            </a:r>
            <a:r>
              <a:rPr lang="en-US" sz="1000" b="1" baseline="0"/>
              <a:t> </a:t>
            </a:r>
            <a:r>
              <a:rPr lang="en-US" sz="1000" b="1"/>
              <a:t>dEu Table search</a:t>
            </a:r>
          </a:p>
        </c:rich>
      </c:tx>
      <c:layout>
        <c:manualLayout>
          <c:xMode val="edge"/>
          <c:yMode val="edge"/>
          <c:x val="1.3598055555555561E-2"/>
          <c:y val="5.4398148148148149E-3"/>
        </c:manualLayout>
      </c:layout>
      <c:overlay val="1"/>
      <c:spPr>
        <a:solidFill>
          <a:schemeClr val="bg1"/>
        </a:solidFill>
        <a:ln>
          <a:solidFill>
            <a:srgbClr val="00B05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8.1635277777777779E-2"/>
          <c:y val="5.2916666666666667E-2"/>
          <c:w val="0.8583925"/>
          <c:h val="0.7709259259259259"/>
        </c:manualLayout>
      </c:layout>
      <c:scatterChart>
        <c:scatterStyle val="lineMarker"/>
        <c:varyColors val="0"/>
        <c:ser>
          <c:idx val="2"/>
          <c:order val="0"/>
          <c:tx>
            <c:v>ws1 dEu1</c:v>
          </c:tx>
          <c:spPr>
            <a:ln w="12700">
              <a:solidFill>
                <a:srgbClr val="6600FF"/>
              </a:solidFill>
            </a:ln>
          </c:spPr>
          <c:marker>
            <c:symbol val="circle"/>
            <c:size val="3"/>
            <c:spPr>
              <a:noFill/>
              <a:ln>
                <a:solidFill>
                  <a:srgbClr val="6600FF"/>
                </a:solidFill>
              </a:ln>
            </c:spPr>
          </c:marker>
          <c:xVal>
            <c:numRef>
              <c:f>'dbg33'!$R$11:$R$219</c:f>
              <c:numCache>
                <c:formatCode>0.00000_ </c:formatCode>
                <c:ptCount val="209"/>
                <c:pt idx="0">
                  <c:v>1.0606060606060606E-5</c:v>
                </c:pt>
                <c:pt idx="1">
                  <c:v>1.1363636363636365E-5</c:v>
                </c:pt>
                <c:pt idx="2">
                  <c:v>1.2121212121212122E-5</c:v>
                </c:pt>
                <c:pt idx="3">
                  <c:v>1.2878787878787878E-5</c:v>
                </c:pt>
                <c:pt idx="4">
                  <c:v>1.3636363636363637E-5</c:v>
                </c:pt>
                <c:pt idx="5">
                  <c:v>1.5151515151515151E-5</c:v>
                </c:pt>
                <c:pt idx="6">
                  <c:v>1.7045454545454543E-5</c:v>
                </c:pt>
                <c:pt idx="7">
                  <c:v>1.8939393939393939E-5</c:v>
                </c:pt>
                <c:pt idx="8">
                  <c:v>2.0833333333333333E-5</c:v>
                </c:pt>
                <c:pt idx="9">
                  <c:v>2.2727272727272729E-5</c:v>
                </c:pt>
                <c:pt idx="10">
                  <c:v>2.4621212121212119E-5</c:v>
                </c:pt>
                <c:pt idx="11">
                  <c:v>2.6515151515151516E-5</c:v>
                </c:pt>
                <c:pt idx="12">
                  <c:v>2.8409090909090909E-5</c:v>
                </c:pt>
                <c:pt idx="13">
                  <c:v>3.0303030303030302E-5</c:v>
                </c:pt>
                <c:pt idx="14">
                  <c:v>3.4090909090909085E-5</c:v>
                </c:pt>
                <c:pt idx="15">
                  <c:v>3.7878787878787879E-5</c:v>
                </c:pt>
                <c:pt idx="16">
                  <c:v>4.1666666666666665E-5</c:v>
                </c:pt>
                <c:pt idx="17">
                  <c:v>4.5454545454545459E-5</c:v>
                </c:pt>
                <c:pt idx="18">
                  <c:v>4.9242424242424238E-5</c:v>
                </c:pt>
                <c:pt idx="19">
                  <c:v>5.3030303030303032E-5</c:v>
                </c:pt>
                <c:pt idx="20">
                  <c:v>6.0606060606060605E-5</c:v>
                </c:pt>
                <c:pt idx="21">
                  <c:v>6.8181818181818171E-5</c:v>
                </c:pt>
                <c:pt idx="22">
                  <c:v>7.5757575757575758E-5</c:v>
                </c:pt>
                <c:pt idx="23">
                  <c:v>8.3333333333333331E-5</c:v>
                </c:pt>
                <c:pt idx="24">
                  <c:v>9.0909090909090917E-5</c:v>
                </c:pt>
                <c:pt idx="25">
                  <c:v>9.8484848484848477E-5</c:v>
                </c:pt>
                <c:pt idx="26">
                  <c:v>1.0606060606060606E-4</c:v>
                </c:pt>
                <c:pt idx="27">
                  <c:v>1.1363636363636364E-4</c:v>
                </c:pt>
                <c:pt idx="28">
                  <c:v>1.2121212121212121E-4</c:v>
                </c:pt>
                <c:pt idx="29">
                  <c:v>1.2878787878787881E-4</c:v>
                </c:pt>
                <c:pt idx="30">
                  <c:v>1.3636363636363634E-4</c:v>
                </c:pt>
                <c:pt idx="31">
                  <c:v>1.5151515151515152E-4</c:v>
                </c:pt>
                <c:pt idx="32">
                  <c:v>1.7045454545454544E-4</c:v>
                </c:pt>
                <c:pt idx="33">
                  <c:v>1.8939393939393939E-4</c:v>
                </c:pt>
                <c:pt idx="34">
                  <c:v>2.0833333333333335E-4</c:v>
                </c:pt>
                <c:pt idx="35">
                  <c:v>2.2727272727272727E-4</c:v>
                </c:pt>
                <c:pt idx="36">
                  <c:v>2.4621212121212123E-4</c:v>
                </c:pt>
                <c:pt idx="37">
                  <c:v>2.6515151515151518E-4</c:v>
                </c:pt>
                <c:pt idx="38">
                  <c:v>2.8409090909090908E-4</c:v>
                </c:pt>
                <c:pt idx="39">
                  <c:v>3.0303030303030303E-4</c:v>
                </c:pt>
                <c:pt idx="40">
                  <c:v>3.4090909090909088E-4</c:v>
                </c:pt>
                <c:pt idx="41">
                  <c:v>3.7878787878787879E-4</c:v>
                </c:pt>
                <c:pt idx="42">
                  <c:v>4.1666666666666669E-4</c:v>
                </c:pt>
                <c:pt idx="43">
                  <c:v>4.5454545454545455E-4</c:v>
                </c:pt>
                <c:pt idx="44">
                  <c:v>4.9242424242424245E-4</c:v>
                </c:pt>
                <c:pt idx="45">
                  <c:v>5.3030303030303036E-4</c:v>
                </c:pt>
                <c:pt idx="46">
                  <c:v>6.0606060606060606E-4</c:v>
                </c:pt>
                <c:pt idx="47">
                  <c:v>6.8181818181818176E-4</c:v>
                </c:pt>
                <c:pt idx="48">
                  <c:v>7.5757575757575758E-4</c:v>
                </c:pt>
                <c:pt idx="49">
                  <c:v>8.3333333333333339E-4</c:v>
                </c:pt>
                <c:pt idx="50">
                  <c:v>9.0909090909090909E-4</c:v>
                </c:pt>
                <c:pt idx="51">
                  <c:v>9.848484848484849E-4</c:v>
                </c:pt>
                <c:pt idx="52">
                  <c:v>1.0606060606060607E-3</c:v>
                </c:pt>
                <c:pt idx="53">
                  <c:v>1.1363636363636363E-3</c:v>
                </c:pt>
                <c:pt idx="54">
                  <c:v>1.2121212121212121E-3</c:v>
                </c:pt>
                <c:pt idx="55">
                  <c:v>1.2878787878787879E-3</c:v>
                </c:pt>
                <c:pt idx="56">
                  <c:v>1.3636363636363635E-3</c:v>
                </c:pt>
                <c:pt idx="57">
                  <c:v>1.5151515151515152E-3</c:v>
                </c:pt>
                <c:pt idx="58">
                  <c:v>1.7045454545454547E-3</c:v>
                </c:pt>
                <c:pt idx="59">
                  <c:v>1.893939393939394E-3</c:v>
                </c:pt>
                <c:pt idx="60">
                  <c:v>2.0833333333333333E-3</c:v>
                </c:pt>
                <c:pt idx="61">
                  <c:v>2.2727272727272726E-3</c:v>
                </c:pt>
                <c:pt idx="62">
                  <c:v>2.4621212121212124E-3</c:v>
                </c:pt>
                <c:pt idx="63">
                  <c:v>2.6515151515151512E-3</c:v>
                </c:pt>
                <c:pt idx="64">
                  <c:v>2.840909090909091E-3</c:v>
                </c:pt>
                <c:pt idx="65">
                  <c:v>3.0303030303030303E-3</c:v>
                </c:pt>
                <c:pt idx="66">
                  <c:v>3.4090909090909094E-3</c:v>
                </c:pt>
                <c:pt idx="67">
                  <c:v>3.787878787878788E-3</c:v>
                </c:pt>
                <c:pt idx="68">
                  <c:v>4.1666666666666666E-3</c:v>
                </c:pt>
                <c:pt idx="69">
                  <c:v>4.5454545454545452E-3</c:v>
                </c:pt>
                <c:pt idx="70">
                  <c:v>4.9242424242424247E-3</c:v>
                </c:pt>
                <c:pt idx="71">
                  <c:v>5.3030303030303025E-3</c:v>
                </c:pt>
                <c:pt idx="72">
                  <c:v>6.0606060606060606E-3</c:v>
                </c:pt>
                <c:pt idx="73">
                  <c:v>6.8181818181818187E-3</c:v>
                </c:pt>
                <c:pt idx="74">
                  <c:v>7.575757575757576E-3</c:v>
                </c:pt>
                <c:pt idx="75">
                  <c:v>8.3333333333333332E-3</c:v>
                </c:pt>
                <c:pt idx="76">
                  <c:v>9.0909090909090905E-3</c:v>
                </c:pt>
                <c:pt idx="77">
                  <c:v>9.8484848484848495E-3</c:v>
                </c:pt>
                <c:pt idx="78">
                  <c:v>1.0606060606060605E-2</c:v>
                </c:pt>
                <c:pt idx="79">
                  <c:v>1.1363636363636364E-2</c:v>
                </c:pt>
                <c:pt idx="80">
                  <c:v>1.2121212121212121E-2</c:v>
                </c:pt>
                <c:pt idx="81">
                  <c:v>1.2878787878787878E-2</c:v>
                </c:pt>
                <c:pt idx="82">
                  <c:v>1.3636363636363637E-2</c:v>
                </c:pt>
                <c:pt idx="83">
                  <c:v>1.5151515151515152E-2</c:v>
                </c:pt>
                <c:pt idx="84">
                  <c:v>1.7045454545454544E-2</c:v>
                </c:pt>
                <c:pt idx="85">
                  <c:v>1.893939393939394E-2</c:v>
                </c:pt>
                <c:pt idx="86">
                  <c:v>2.0833333333333332E-2</c:v>
                </c:pt>
                <c:pt idx="87">
                  <c:v>2.2727272727272728E-2</c:v>
                </c:pt>
                <c:pt idx="88">
                  <c:v>2.462121212121212E-2</c:v>
                </c:pt>
                <c:pt idx="89">
                  <c:v>2.6515151515151516E-2</c:v>
                </c:pt>
                <c:pt idx="90">
                  <c:v>2.8409090909090908E-2</c:v>
                </c:pt>
                <c:pt idx="91">
                  <c:v>3.0303030303030304E-2</c:v>
                </c:pt>
                <c:pt idx="92">
                  <c:v>3.4090909090909088E-2</c:v>
                </c:pt>
                <c:pt idx="93">
                  <c:v>3.787878787878788E-2</c:v>
                </c:pt>
                <c:pt idx="94">
                  <c:v>4.1666666666666664E-2</c:v>
                </c:pt>
                <c:pt idx="95">
                  <c:v>4.5454545454545456E-2</c:v>
                </c:pt>
                <c:pt idx="96">
                  <c:v>4.924242424242424E-2</c:v>
                </c:pt>
                <c:pt idx="97">
                  <c:v>5.3030303030303032E-2</c:v>
                </c:pt>
                <c:pt idx="98">
                  <c:v>6.0606060606060608E-2</c:v>
                </c:pt>
                <c:pt idx="99">
                  <c:v>6.8181818181818177E-2</c:v>
                </c:pt>
                <c:pt idx="100">
                  <c:v>7.575757575757576E-2</c:v>
                </c:pt>
                <c:pt idx="101">
                  <c:v>8.3333333333333329E-2</c:v>
                </c:pt>
                <c:pt idx="102">
                  <c:v>9.0909090909090912E-2</c:v>
                </c:pt>
                <c:pt idx="103">
                  <c:v>9.8484848484848481E-2</c:v>
                </c:pt>
                <c:pt idx="104">
                  <c:v>0.10606060606060606</c:v>
                </c:pt>
                <c:pt idx="105">
                  <c:v>0.11363636363636363</c:v>
                </c:pt>
                <c:pt idx="106">
                  <c:v>0.12121212121212122</c:v>
                </c:pt>
                <c:pt idx="107">
                  <c:v>0.12878787878787878</c:v>
                </c:pt>
                <c:pt idx="108">
                  <c:v>0.13636363636363635</c:v>
                </c:pt>
                <c:pt idx="109">
                  <c:v>0.15151515151515152</c:v>
                </c:pt>
                <c:pt idx="110">
                  <c:v>0.17045454545454544</c:v>
                </c:pt>
                <c:pt idx="111">
                  <c:v>0.18939393939393939</c:v>
                </c:pt>
                <c:pt idx="112">
                  <c:v>0.20833333333333334</c:v>
                </c:pt>
                <c:pt idx="113">
                  <c:v>0.22727272727272727</c:v>
                </c:pt>
                <c:pt idx="114">
                  <c:v>0.24621212121212122</c:v>
                </c:pt>
                <c:pt idx="115">
                  <c:v>0.26515151515151514</c:v>
                </c:pt>
                <c:pt idx="116">
                  <c:v>0.28409090909090912</c:v>
                </c:pt>
                <c:pt idx="117">
                  <c:v>0.30303030303030304</c:v>
                </c:pt>
                <c:pt idx="118">
                  <c:v>0.34090909090909088</c:v>
                </c:pt>
                <c:pt idx="119">
                  <c:v>0.37878787878787878</c:v>
                </c:pt>
                <c:pt idx="120">
                  <c:v>0.41666666666666669</c:v>
                </c:pt>
                <c:pt idx="121">
                  <c:v>0.45454545454545453</c:v>
                </c:pt>
                <c:pt idx="122">
                  <c:v>0.49242424242424243</c:v>
                </c:pt>
                <c:pt idx="123">
                  <c:v>0.53030303030303028</c:v>
                </c:pt>
                <c:pt idx="124">
                  <c:v>0.60606060606060608</c:v>
                </c:pt>
                <c:pt idx="125">
                  <c:v>0.68181818181818177</c:v>
                </c:pt>
                <c:pt idx="126">
                  <c:v>0.75757575757575757</c:v>
                </c:pt>
                <c:pt idx="127">
                  <c:v>0.83333333333333337</c:v>
                </c:pt>
                <c:pt idx="128">
                  <c:v>0.90909090909090906</c:v>
                </c:pt>
                <c:pt idx="129">
                  <c:v>0.98484848484848486</c:v>
                </c:pt>
                <c:pt idx="130" formatCode="0.000_ ">
                  <c:v>1.0606060606060606</c:v>
                </c:pt>
                <c:pt idx="131" formatCode="0.000_ ">
                  <c:v>1.1363636363636365</c:v>
                </c:pt>
                <c:pt idx="132" formatCode="0.000_ ">
                  <c:v>1.2121212121212122</c:v>
                </c:pt>
                <c:pt idx="133" formatCode="0.000_ ">
                  <c:v>1.2878787878787878</c:v>
                </c:pt>
                <c:pt idx="134" formatCode="0.000_ ">
                  <c:v>1.3636363636363635</c:v>
                </c:pt>
                <c:pt idx="135" formatCode="0.000_ ">
                  <c:v>1.5151515151515151</c:v>
                </c:pt>
                <c:pt idx="136" formatCode="0.000_ ">
                  <c:v>1.7045454545454546</c:v>
                </c:pt>
                <c:pt idx="137" formatCode="0.000_ ">
                  <c:v>1.893939393939394</c:v>
                </c:pt>
                <c:pt idx="138" formatCode="0.000_ ">
                  <c:v>2.0833333333333335</c:v>
                </c:pt>
                <c:pt idx="139" formatCode="0.000_ ">
                  <c:v>2.2727272727272729</c:v>
                </c:pt>
                <c:pt idx="140" formatCode="0.000_ ">
                  <c:v>2.4621212121212119</c:v>
                </c:pt>
                <c:pt idx="141" formatCode="0.000_ ">
                  <c:v>2.6515151515151514</c:v>
                </c:pt>
                <c:pt idx="142" formatCode="0.000_ ">
                  <c:v>2.8409090909090908</c:v>
                </c:pt>
                <c:pt idx="143" formatCode="0.000_ ">
                  <c:v>3.0303030303030303</c:v>
                </c:pt>
                <c:pt idx="144" formatCode="0.000_ ">
                  <c:v>3.4090909090909092</c:v>
                </c:pt>
                <c:pt idx="145" formatCode="0.000_ ">
                  <c:v>3.7878787878787881</c:v>
                </c:pt>
                <c:pt idx="146" formatCode="0.000_ ">
                  <c:v>4.166666666666667</c:v>
                </c:pt>
                <c:pt idx="147" formatCode="0.000_ ">
                  <c:v>4.5454545454545459</c:v>
                </c:pt>
                <c:pt idx="148" formatCode="0.000_ ">
                  <c:v>4.9242424242424239</c:v>
                </c:pt>
                <c:pt idx="149" formatCode="0.000_ ">
                  <c:v>5.3030303030303028</c:v>
                </c:pt>
                <c:pt idx="150" formatCode="0.000_ ">
                  <c:v>6.0606060606060606</c:v>
                </c:pt>
                <c:pt idx="151" formatCode="0.000_ ">
                  <c:v>6.8181818181818183</c:v>
                </c:pt>
                <c:pt idx="152" formatCode="0.000_ ">
                  <c:v>7.5757575757575761</c:v>
                </c:pt>
                <c:pt idx="153" formatCode="0.000_ ">
                  <c:v>8.3333333333333339</c:v>
                </c:pt>
                <c:pt idx="154" formatCode="0.000_ ">
                  <c:v>9.0909090909090917</c:v>
                </c:pt>
                <c:pt idx="155" formatCode="0.000_ ">
                  <c:v>9.8484848484848477</c:v>
                </c:pt>
                <c:pt idx="156" formatCode="0.000_ ">
                  <c:v>10.606060606060606</c:v>
                </c:pt>
                <c:pt idx="157" formatCode="0.000_ ">
                  <c:v>11.363636363636363</c:v>
                </c:pt>
                <c:pt idx="158" formatCode="0.000_ ">
                  <c:v>12.121212121212121</c:v>
                </c:pt>
                <c:pt idx="159" formatCode="0.000_ ">
                  <c:v>12.878787878787879</c:v>
                </c:pt>
                <c:pt idx="160" formatCode="0.000_ ">
                  <c:v>13.636363636363637</c:v>
                </c:pt>
                <c:pt idx="161" formatCode="0.000_ ">
                  <c:v>15.151515151515152</c:v>
                </c:pt>
                <c:pt idx="162" formatCode="0.000_ ">
                  <c:v>17.045454545454547</c:v>
                </c:pt>
                <c:pt idx="163" formatCode="0.000_ ">
                  <c:v>18.939393939393938</c:v>
                </c:pt>
                <c:pt idx="164" formatCode="0.000_ ">
                  <c:v>20.833333333333332</c:v>
                </c:pt>
                <c:pt idx="165" formatCode="0.000_ ">
                  <c:v>22.727272727272727</c:v>
                </c:pt>
                <c:pt idx="166" formatCode="0.000_ ">
                  <c:v>24.621212121212121</c:v>
                </c:pt>
                <c:pt idx="167" formatCode="0.000_ ">
                  <c:v>26.515151515151516</c:v>
                </c:pt>
                <c:pt idx="168" formatCode="0.000_ ">
                  <c:v>28.40909090909091</c:v>
                </c:pt>
                <c:pt idx="169" formatCode="0.000_ ">
                  <c:v>30.303030303030305</c:v>
                </c:pt>
                <c:pt idx="170" formatCode="0.000_ ">
                  <c:v>34.090909090909093</c:v>
                </c:pt>
                <c:pt idx="171" formatCode="0.000_ ">
                  <c:v>37.878787878787875</c:v>
                </c:pt>
                <c:pt idx="172" formatCode="0.000_ ">
                  <c:v>41.666666666666664</c:v>
                </c:pt>
                <c:pt idx="173" formatCode="0.000_ ">
                  <c:v>45.454545454545453</c:v>
                </c:pt>
                <c:pt idx="174" formatCode="0.000_ ">
                  <c:v>49.242424242424242</c:v>
                </c:pt>
                <c:pt idx="175" formatCode="0.000_ ">
                  <c:v>53.030303030303031</c:v>
                </c:pt>
                <c:pt idx="176" formatCode="0.000_ ">
                  <c:v>60.606060606060609</c:v>
                </c:pt>
                <c:pt idx="177" formatCode="0.000_ ">
                  <c:v>68.181818181818187</c:v>
                </c:pt>
                <c:pt idx="178" formatCode="0.000_ ">
                  <c:v>75.757575757575751</c:v>
                </c:pt>
                <c:pt idx="179" formatCode="0.000_ ">
                  <c:v>83.333333333333329</c:v>
                </c:pt>
                <c:pt idx="180" formatCode="0.000_ ">
                  <c:v>90.909090909090907</c:v>
                </c:pt>
                <c:pt idx="181" formatCode="0.000_ ">
                  <c:v>98.484848484848484</c:v>
                </c:pt>
                <c:pt idx="182" formatCode="0.00_ ">
                  <c:v>106.06060606060606</c:v>
                </c:pt>
                <c:pt idx="183" formatCode="0.00_ ">
                  <c:v>113.63636363636364</c:v>
                </c:pt>
                <c:pt idx="184" formatCode="0.00_ ">
                  <c:v>121.21212121212122</c:v>
                </c:pt>
                <c:pt idx="185" formatCode="0.00_ ">
                  <c:v>128.78787878787878</c:v>
                </c:pt>
                <c:pt idx="186" formatCode="0.00_ ">
                  <c:v>136.36363636363637</c:v>
                </c:pt>
                <c:pt idx="187" formatCode="0.00_ ">
                  <c:v>151.5151515151515</c:v>
                </c:pt>
                <c:pt idx="188" formatCode="0.00_ ">
                  <c:v>170.45454545454547</c:v>
                </c:pt>
                <c:pt idx="189" formatCode="0.00_ ">
                  <c:v>189.39393939393941</c:v>
                </c:pt>
                <c:pt idx="190" formatCode="0.00_ ">
                  <c:v>208.33333333333334</c:v>
                </c:pt>
                <c:pt idx="191" formatCode="0.00_ ">
                  <c:v>227.27272727272728</c:v>
                </c:pt>
                <c:pt idx="192" formatCode="0.00_ ">
                  <c:v>246.21212121212122</c:v>
                </c:pt>
                <c:pt idx="193" formatCode="0.00_ ">
                  <c:v>265.15151515151513</c:v>
                </c:pt>
                <c:pt idx="194" formatCode="0.00_ ">
                  <c:v>284.09090909090907</c:v>
                </c:pt>
                <c:pt idx="195" formatCode="0.00_ ">
                  <c:v>303.030303030303</c:v>
                </c:pt>
                <c:pt idx="196" formatCode="0.00_ ">
                  <c:v>340.90909090909093</c:v>
                </c:pt>
                <c:pt idx="197" formatCode="0.00_ ">
                  <c:v>378.78787878787881</c:v>
                </c:pt>
                <c:pt idx="198" formatCode="0.00_ ">
                  <c:v>416.66666666666669</c:v>
                </c:pt>
                <c:pt idx="199" formatCode="0.00_ ">
                  <c:v>454.54545454545456</c:v>
                </c:pt>
                <c:pt idx="200" formatCode="0.00_ ">
                  <c:v>492.42424242424244</c:v>
                </c:pt>
                <c:pt idx="201" formatCode="0.00_ ">
                  <c:v>530.30303030303025</c:v>
                </c:pt>
                <c:pt idx="202" formatCode="0.00_ ">
                  <c:v>606.06060606060601</c:v>
                </c:pt>
                <c:pt idx="203" formatCode="0.00_ ">
                  <c:v>681.81818181818187</c:v>
                </c:pt>
                <c:pt idx="204" formatCode="0.00_ ">
                  <c:v>757.57575757575762</c:v>
                </c:pt>
                <c:pt idx="205" formatCode="0.00_ ">
                  <c:v>833.33333333333337</c:v>
                </c:pt>
                <c:pt idx="206" formatCode="0.00_ ">
                  <c:v>909.09090909090912</c:v>
                </c:pt>
                <c:pt idx="207" formatCode="0.00_ ">
                  <c:v>984.84848484848487</c:v>
                </c:pt>
                <c:pt idx="208" formatCode="0.00_ ">
                  <c:v>1000</c:v>
                </c:pt>
              </c:numCache>
            </c:numRef>
          </c:xVal>
          <c:yVal>
            <c:numRef>
              <c:f>'dbg33'!$V$11:$V$219</c:f>
              <c:numCache>
                <c:formatCode>0.000_ </c:formatCode>
                <c:ptCount val="20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0.22692112292568017</c:v>
                </c:pt>
                <c:pt idx="114">
                  <c:v>0.23968262511669197</c:v>
                </c:pt>
                <c:pt idx="115">
                  <c:v>0.25301556397108288</c:v>
                </c:pt>
                <c:pt idx="116">
                  <c:v>0.26680746558520568</c:v>
                </c:pt>
                <c:pt idx="117">
                  <c:v>0.28073349054064239</c:v>
                </c:pt>
                <c:pt idx="118">
                  <c:v>0.30875388097943135</c:v>
                </c:pt>
                <c:pt idx="119">
                  <c:v>0.33710509127519012</c:v>
                </c:pt>
                <c:pt idx="120">
                  <c:v>0.3655131074612129</c:v>
                </c:pt>
                <c:pt idx="121">
                  <c:v>0.39378289408991818</c:v>
                </c:pt>
                <c:pt idx="122">
                  <c:v>0.42165005876112149</c:v>
                </c:pt>
                <c:pt idx="123">
                  <c:v>0.44922178955951608</c:v>
                </c:pt>
                <c:pt idx="124">
                  <c:v>0.50250068742655229</c:v>
                </c:pt>
                <c:pt idx="125">
                  <c:v>0.55299995790837919</c:v>
                </c:pt>
                <c:pt idx="126">
                  <c:v>0.5993713685229336</c:v>
                </c:pt>
                <c:pt idx="127">
                  <c:v>0.64141325481023537</c:v>
                </c:pt>
                <c:pt idx="128">
                  <c:v>0.67855339161406736</c:v>
                </c:pt>
                <c:pt idx="129">
                  <c:v>0.71056810728093678</c:v>
                </c:pt>
                <c:pt idx="130">
                  <c:v>0.7381473016067519</c:v>
                </c:pt>
                <c:pt idx="131">
                  <c:v>0.76213221133259723</c:v>
                </c:pt>
                <c:pt idx="132">
                  <c:v>0.78225445004687189</c:v>
                </c:pt>
                <c:pt idx="133">
                  <c:v>0.79959165145875755</c:v>
                </c:pt>
                <c:pt idx="134">
                  <c:v>0.81431807658913002</c:v>
                </c:pt>
                <c:pt idx="135">
                  <c:v>0.83849872441305728</c:v>
                </c:pt>
                <c:pt idx="136">
                  <c:v>0.85976250700303425</c:v>
                </c:pt>
                <c:pt idx="137">
                  <c:v>0.87438859136155078</c:v>
                </c:pt>
                <c:pt idx="138">
                  <c:v>0.88441242098139705</c:v>
                </c:pt>
                <c:pt idx="139">
                  <c:v>0.8920123733474703</c:v>
                </c:pt>
                <c:pt idx="140">
                  <c:v>0.89866653656529349</c:v>
                </c:pt>
                <c:pt idx="141">
                  <c:v>0.90316892211455624</c:v>
                </c:pt>
                <c:pt idx="142">
                  <c:v>0.90648939609291856</c:v>
                </c:pt>
                <c:pt idx="143">
                  <c:v>0.90969683718631167</c:v>
                </c:pt>
                <c:pt idx="144">
                  <c:v>0.91295215053483059</c:v>
                </c:pt>
                <c:pt idx="145">
                  <c:v>0.91566210638180001</c:v>
                </c:pt>
                <c:pt idx="146">
                  <c:v>0.91595870365910992</c:v>
                </c:pt>
                <c:pt idx="147">
                  <c:v>0.91412039409091372</c:v>
                </c:pt>
                <c:pt idx="148">
                  <c:v>0.9109840035624579</c:v>
                </c:pt>
                <c:pt idx="149">
                  <c:v>0.90687044115888238</c:v>
                </c:pt>
                <c:pt idx="150">
                  <c:v>0.89496619745567241</c:v>
                </c:pt>
                <c:pt idx="151">
                  <c:v>0.88166265060828497</c:v>
                </c:pt>
                <c:pt idx="152">
                  <c:v>0.86473195281908843</c:v>
                </c:pt>
                <c:pt idx="153">
                  <c:v>0.8459018641942011</c:v>
                </c:pt>
                <c:pt idx="154">
                  <c:v>0.82695279640663166</c:v>
                </c:pt>
                <c:pt idx="155">
                  <c:v>0.80619892522483916</c:v>
                </c:pt>
                <c:pt idx="156">
                  <c:v>0.7862435062836326</c:v>
                </c:pt>
                <c:pt idx="157">
                  <c:v>0.76542222410872363</c:v>
                </c:pt>
                <c:pt idx="158">
                  <c:v>0.74534331729796399</c:v>
                </c:pt>
                <c:pt idx="159">
                  <c:v>0.72647386622712951</c:v>
                </c:pt>
                <c:pt idx="160">
                  <c:v>0.70750863114070661</c:v>
                </c:pt>
                <c:pt idx="161">
                  <c:v>0.68037266551118236</c:v>
                </c:pt>
                <c:pt idx="162">
                  <c:v>0.64306248506659358</c:v>
                </c:pt>
                <c:pt idx="163">
                  <c:v>0.60584600244848019</c:v>
                </c:pt>
                <c:pt idx="164">
                  <c:v>0.57323995437311126</c:v>
                </c:pt>
                <c:pt idx="165">
                  <c:v>0.54505832533130416</c:v>
                </c:pt>
                <c:pt idx="166">
                  <c:v>0.52062668214676222</c:v>
                </c:pt>
                <c:pt idx="167">
                  <c:v>0.50013040923879259</c:v>
                </c:pt>
                <c:pt idx="168">
                  <c:v>0.48261495960775136</c:v>
                </c:pt>
                <c:pt idx="169">
                  <c:v>0.46762576799416777</c:v>
                </c:pt>
                <c:pt idx="170">
                  <c:v>0.44416571171038299</c:v>
                </c:pt>
                <c:pt idx="171">
                  <c:v>0.4145018278286301</c:v>
                </c:pt>
                <c:pt idx="172">
                  <c:v>0.3889858872271077</c:v>
                </c:pt>
                <c:pt idx="173">
                  <c:v>0.37080206838820118</c:v>
                </c:pt>
                <c:pt idx="174">
                  <c:v>0.34844800083679672</c:v>
                </c:pt>
                <c:pt idx="175">
                  <c:v>0.32521813411434408</c:v>
                </c:pt>
                <c:pt idx="176">
                  <c:v>0.30489200073219536</c:v>
                </c:pt>
                <c:pt idx="177">
                  <c:v>0.2869571771597208</c:v>
                </c:pt>
                <c:pt idx="178">
                  <c:v>0.26369037901163495</c:v>
                </c:pt>
                <c:pt idx="179">
                  <c:v>0.24391360058575628</c:v>
                </c:pt>
                <c:pt idx="180">
                  <c:v>0.23229866722454062</c:v>
                </c:pt>
                <c:pt idx="181">
                  <c:v>0.2168120894095722</c:v>
                </c:pt>
                <c:pt idx="182">
                  <c:v>0.20758604305170536</c:v>
                </c:pt>
                <c:pt idx="183">
                  <c:v>0.19513088046861071</c:v>
                </c:pt>
                <c:pt idx="184">
                  <c:v>0.19130478477315194</c:v>
                </c:pt>
                <c:pt idx="185">
                  <c:v>0.18067674117463639</c:v>
                </c:pt>
                <c:pt idx="186">
                  <c:v>0.17422400041840547</c:v>
                </c:pt>
                <c:pt idx="187">
                  <c:v>0.1653651529395006</c:v>
                </c:pt>
                <c:pt idx="188">
                  <c:v>0.15340478024262438</c:v>
                </c:pt>
                <c:pt idx="189">
                  <c:v>0.14347858857985329</c:v>
                </c:pt>
                <c:pt idx="190">
                  <c:v>0.13475889535123997</c:v>
                </c:pt>
                <c:pt idx="191">
                  <c:v>0.12770345580406683</c:v>
                </c:pt>
                <c:pt idx="192">
                  <c:v>0.12135005004267896</c:v>
                </c:pt>
                <c:pt idx="193">
                  <c:v>0.11614933361227031</c:v>
                </c:pt>
                <c:pt idx="194">
                  <c:v>0.11137607332682364</c:v>
                </c:pt>
                <c:pt idx="195">
                  <c:v>0.10745092536819811</c:v>
                </c:pt>
                <c:pt idx="196">
                  <c:v>0.1024847061284504</c:v>
                </c:pt>
                <c:pt idx="197">
                  <c:v>9.6791111343577541E-2</c:v>
                </c:pt>
                <c:pt idx="198">
                  <c:v>9.2391515373378752E-2</c:v>
                </c:pt>
                <c:pt idx="199">
                  <c:v>8.8534882245312474E-2</c:v>
                </c:pt>
                <c:pt idx="200">
                  <c:v>8.543383558168216E-2</c:v>
                </c:pt>
                <c:pt idx="201">
                  <c:v>8.2682576469778724E-2</c:v>
                </c:pt>
                <c:pt idx="202">
                  <c:v>7.9645257334050257E-2</c:v>
                </c:pt>
                <c:pt idx="203">
                  <c:v>7.6163497450579598E-2</c:v>
                </c:pt>
                <c:pt idx="204">
                  <c:v>7.3578763374257505E-2</c:v>
                </c:pt>
                <c:pt idx="205">
                  <c:v>7.1528915127714754E-2</c:v>
                </c:pt>
                <c:pt idx="206">
                  <c:v>6.98892838354368E-2</c:v>
                </c:pt>
                <c:pt idx="207">
                  <c:v>6.8611420699312475E-2</c:v>
                </c:pt>
                <c:pt idx="208">
                  <c:v>6.7989853821813995E-2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995-4BE7-A1D1-58C3354EF0C6}"/>
            </c:ext>
          </c:extLst>
        </c:ser>
        <c:ser>
          <c:idx val="1"/>
          <c:order val="1"/>
          <c:tx>
            <c:v>ws1 dEu1 stop</c:v>
          </c:tx>
          <c:spPr>
            <a:ln w="12700">
              <a:solidFill>
                <a:srgbClr val="CC66FF"/>
              </a:solidFill>
            </a:ln>
          </c:spPr>
          <c:marker>
            <c:symbol val="circle"/>
            <c:size val="2"/>
            <c:spPr>
              <a:solidFill>
                <a:srgbClr val="CC66FF"/>
              </a:solidFill>
              <a:ln>
                <a:noFill/>
              </a:ln>
            </c:spPr>
          </c:marker>
          <c:xVal>
            <c:numRef>
              <c:f>'dbg33'!$R$11:$R$219</c:f>
              <c:numCache>
                <c:formatCode>0.00000_ </c:formatCode>
                <c:ptCount val="209"/>
                <c:pt idx="0">
                  <c:v>1.0606060606060606E-5</c:v>
                </c:pt>
                <c:pt idx="1">
                  <c:v>1.1363636363636365E-5</c:v>
                </c:pt>
                <c:pt idx="2">
                  <c:v>1.2121212121212122E-5</c:v>
                </c:pt>
                <c:pt idx="3">
                  <c:v>1.2878787878787878E-5</c:v>
                </c:pt>
                <c:pt idx="4">
                  <c:v>1.3636363636363637E-5</c:v>
                </c:pt>
                <c:pt idx="5">
                  <c:v>1.5151515151515151E-5</c:v>
                </c:pt>
                <c:pt idx="6">
                  <c:v>1.7045454545454543E-5</c:v>
                </c:pt>
                <c:pt idx="7">
                  <c:v>1.8939393939393939E-5</c:v>
                </c:pt>
                <c:pt idx="8">
                  <c:v>2.0833333333333333E-5</c:v>
                </c:pt>
                <c:pt idx="9">
                  <c:v>2.2727272727272729E-5</c:v>
                </c:pt>
                <c:pt idx="10">
                  <c:v>2.4621212121212119E-5</c:v>
                </c:pt>
                <c:pt idx="11">
                  <c:v>2.6515151515151516E-5</c:v>
                </c:pt>
                <c:pt idx="12">
                  <c:v>2.8409090909090909E-5</c:v>
                </c:pt>
                <c:pt idx="13">
                  <c:v>3.0303030303030302E-5</c:v>
                </c:pt>
                <c:pt idx="14">
                  <c:v>3.4090909090909085E-5</c:v>
                </c:pt>
                <c:pt idx="15">
                  <c:v>3.7878787878787879E-5</c:v>
                </c:pt>
                <c:pt idx="16">
                  <c:v>4.1666666666666665E-5</c:v>
                </c:pt>
                <c:pt idx="17">
                  <c:v>4.5454545454545459E-5</c:v>
                </c:pt>
                <c:pt idx="18">
                  <c:v>4.9242424242424238E-5</c:v>
                </c:pt>
                <c:pt idx="19">
                  <c:v>5.3030303030303032E-5</c:v>
                </c:pt>
                <c:pt idx="20">
                  <c:v>6.0606060606060605E-5</c:v>
                </c:pt>
                <c:pt idx="21">
                  <c:v>6.8181818181818171E-5</c:v>
                </c:pt>
                <c:pt idx="22">
                  <c:v>7.5757575757575758E-5</c:v>
                </c:pt>
                <c:pt idx="23">
                  <c:v>8.3333333333333331E-5</c:v>
                </c:pt>
                <c:pt idx="24">
                  <c:v>9.0909090909090917E-5</c:v>
                </c:pt>
                <c:pt idx="25">
                  <c:v>9.8484848484848477E-5</c:v>
                </c:pt>
                <c:pt idx="26">
                  <c:v>1.0606060606060606E-4</c:v>
                </c:pt>
                <c:pt idx="27">
                  <c:v>1.1363636363636364E-4</c:v>
                </c:pt>
                <c:pt idx="28">
                  <c:v>1.2121212121212121E-4</c:v>
                </c:pt>
                <c:pt idx="29">
                  <c:v>1.2878787878787881E-4</c:v>
                </c:pt>
                <c:pt idx="30">
                  <c:v>1.3636363636363634E-4</c:v>
                </c:pt>
                <c:pt idx="31">
                  <c:v>1.5151515151515152E-4</c:v>
                </c:pt>
                <c:pt idx="32">
                  <c:v>1.7045454545454544E-4</c:v>
                </c:pt>
                <c:pt idx="33">
                  <c:v>1.8939393939393939E-4</c:v>
                </c:pt>
                <c:pt idx="34">
                  <c:v>2.0833333333333335E-4</c:v>
                </c:pt>
                <c:pt idx="35">
                  <c:v>2.2727272727272727E-4</c:v>
                </c:pt>
                <c:pt idx="36">
                  <c:v>2.4621212121212123E-4</c:v>
                </c:pt>
                <c:pt idx="37">
                  <c:v>2.6515151515151518E-4</c:v>
                </c:pt>
                <c:pt idx="38">
                  <c:v>2.8409090909090908E-4</c:v>
                </c:pt>
                <c:pt idx="39">
                  <c:v>3.0303030303030303E-4</c:v>
                </c:pt>
                <c:pt idx="40">
                  <c:v>3.4090909090909088E-4</c:v>
                </c:pt>
                <c:pt idx="41">
                  <c:v>3.7878787878787879E-4</c:v>
                </c:pt>
                <c:pt idx="42">
                  <c:v>4.1666666666666669E-4</c:v>
                </c:pt>
                <c:pt idx="43">
                  <c:v>4.5454545454545455E-4</c:v>
                </c:pt>
                <c:pt idx="44">
                  <c:v>4.9242424242424245E-4</c:v>
                </c:pt>
                <c:pt idx="45">
                  <c:v>5.3030303030303036E-4</c:v>
                </c:pt>
                <c:pt idx="46">
                  <c:v>6.0606060606060606E-4</c:v>
                </c:pt>
                <c:pt idx="47">
                  <c:v>6.8181818181818176E-4</c:v>
                </c:pt>
                <c:pt idx="48">
                  <c:v>7.5757575757575758E-4</c:v>
                </c:pt>
                <c:pt idx="49">
                  <c:v>8.3333333333333339E-4</c:v>
                </c:pt>
                <c:pt idx="50">
                  <c:v>9.0909090909090909E-4</c:v>
                </c:pt>
                <c:pt idx="51">
                  <c:v>9.848484848484849E-4</c:v>
                </c:pt>
                <c:pt idx="52">
                  <c:v>1.0606060606060607E-3</c:v>
                </c:pt>
                <c:pt idx="53">
                  <c:v>1.1363636363636363E-3</c:v>
                </c:pt>
                <c:pt idx="54">
                  <c:v>1.2121212121212121E-3</c:v>
                </c:pt>
                <c:pt idx="55">
                  <c:v>1.2878787878787879E-3</c:v>
                </c:pt>
                <c:pt idx="56">
                  <c:v>1.3636363636363635E-3</c:v>
                </c:pt>
                <c:pt idx="57">
                  <c:v>1.5151515151515152E-3</c:v>
                </c:pt>
                <c:pt idx="58">
                  <c:v>1.7045454545454547E-3</c:v>
                </c:pt>
                <c:pt idx="59">
                  <c:v>1.893939393939394E-3</c:v>
                </c:pt>
                <c:pt idx="60">
                  <c:v>2.0833333333333333E-3</c:v>
                </c:pt>
                <c:pt idx="61">
                  <c:v>2.2727272727272726E-3</c:v>
                </c:pt>
                <c:pt idx="62">
                  <c:v>2.4621212121212124E-3</c:v>
                </c:pt>
                <c:pt idx="63">
                  <c:v>2.6515151515151512E-3</c:v>
                </c:pt>
                <c:pt idx="64">
                  <c:v>2.840909090909091E-3</c:v>
                </c:pt>
                <c:pt idx="65">
                  <c:v>3.0303030303030303E-3</c:v>
                </c:pt>
                <c:pt idx="66">
                  <c:v>3.4090909090909094E-3</c:v>
                </c:pt>
                <c:pt idx="67">
                  <c:v>3.787878787878788E-3</c:v>
                </c:pt>
                <c:pt idx="68">
                  <c:v>4.1666666666666666E-3</c:v>
                </c:pt>
                <c:pt idx="69">
                  <c:v>4.5454545454545452E-3</c:v>
                </c:pt>
                <c:pt idx="70">
                  <c:v>4.9242424242424247E-3</c:v>
                </c:pt>
                <c:pt idx="71">
                  <c:v>5.3030303030303025E-3</c:v>
                </c:pt>
                <c:pt idx="72">
                  <c:v>6.0606060606060606E-3</c:v>
                </c:pt>
                <c:pt idx="73">
                  <c:v>6.8181818181818187E-3</c:v>
                </c:pt>
                <c:pt idx="74">
                  <c:v>7.575757575757576E-3</c:v>
                </c:pt>
                <c:pt idx="75">
                  <c:v>8.3333333333333332E-3</c:v>
                </c:pt>
                <c:pt idx="76">
                  <c:v>9.0909090909090905E-3</c:v>
                </c:pt>
                <c:pt idx="77">
                  <c:v>9.8484848484848495E-3</c:v>
                </c:pt>
                <c:pt idx="78">
                  <c:v>1.0606060606060605E-2</c:v>
                </c:pt>
                <c:pt idx="79">
                  <c:v>1.1363636363636364E-2</c:v>
                </c:pt>
                <c:pt idx="80">
                  <c:v>1.2121212121212121E-2</c:v>
                </c:pt>
                <c:pt idx="81">
                  <c:v>1.2878787878787878E-2</c:v>
                </c:pt>
                <c:pt idx="82">
                  <c:v>1.3636363636363637E-2</c:v>
                </c:pt>
                <c:pt idx="83">
                  <c:v>1.5151515151515152E-2</c:v>
                </c:pt>
                <c:pt idx="84">
                  <c:v>1.7045454545454544E-2</c:v>
                </c:pt>
                <c:pt idx="85">
                  <c:v>1.893939393939394E-2</c:v>
                </c:pt>
                <c:pt idx="86">
                  <c:v>2.0833333333333332E-2</c:v>
                </c:pt>
                <c:pt idx="87">
                  <c:v>2.2727272727272728E-2</c:v>
                </c:pt>
                <c:pt idx="88">
                  <c:v>2.462121212121212E-2</c:v>
                </c:pt>
                <c:pt idx="89">
                  <c:v>2.6515151515151516E-2</c:v>
                </c:pt>
                <c:pt idx="90">
                  <c:v>2.8409090909090908E-2</c:v>
                </c:pt>
                <c:pt idx="91">
                  <c:v>3.0303030303030304E-2</c:v>
                </c:pt>
                <c:pt idx="92">
                  <c:v>3.4090909090909088E-2</c:v>
                </c:pt>
                <c:pt idx="93">
                  <c:v>3.787878787878788E-2</c:v>
                </c:pt>
                <c:pt idx="94">
                  <c:v>4.1666666666666664E-2</c:v>
                </c:pt>
                <c:pt idx="95">
                  <c:v>4.5454545454545456E-2</c:v>
                </c:pt>
                <c:pt idx="96">
                  <c:v>4.924242424242424E-2</c:v>
                </c:pt>
                <c:pt idx="97">
                  <c:v>5.3030303030303032E-2</c:v>
                </c:pt>
                <c:pt idx="98">
                  <c:v>6.0606060606060608E-2</c:v>
                </c:pt>
                <c:pt idx="99">
                  <c:v>6.8181818181818177E-2</c:v>
                </c:pt>
                <c:pt idx="100">
                  <c:v>7.575757575757576E-2</c:v>
                </c:pt>
                <c:pt idx="101">
                  <c:v>8.3333333333333329E-2</c:v>
                </c:pt>
                <c:pt idx="102">
                  <c:v>9.0909090909090912E-2</c:v>
                </c:pt>
                <c:pt idx="103">
                  <c:v>9.8484848484848481E-2</c:v>
                </c:pt>
                <c:pt idx="104">
                  <c:v>0.10606060606060606</c:v>
                </c:pt>
                <c:pt idx="105">
                  <c:v>0.11363636363636363</c:v>
                </c:pt>
                <c:pt idx="106">
                  <c:v>0.12121212121212122</c:v>
                </c:pt>
                <c:pt idx="107">
                  <c:v>0.12878787878787878</c:v>
                </c:pt>
                <c:pt idx="108">
                  <c:v>0.13636363636363635</c:v>
                </c:pt>
                <c:pt idx="109">
                  <c:v>0.15151515151515152</c:v>
                </c:pt>
                <c:pt idx="110">
                  <c:v>0.17045454545454544</c:v>
                </c:pt>
                <c:pt idx="111">
                  <c:v>0.18939393939393939</c:v>
                </c:pt>
                <c:pt idx="112">
                  <c:v>0.20833333333333334</c:v>
                </c:pt>
                <c:pt idx="113">
                  <c:v>0.22727272727272727</c:v>
                </c:pt>
                <c:pt idx="114">
                  <c:v>0.24621212121212122</c:v>
                </c:pt>
                <c:pt idx="115">
                  <c:v>0.26515151515151514</c:v>
                </c:pt>
                <c:pt idx="116">
                  <c:v>0.28409090909090912</c:v>
                </c:pt>
                <c:pt idx="117">
                  <c:v>0.30303030303030304</c:v>
                </c:pt>
                <c:pt idx="118">
                  <c:v>0.34090909090909088</c:v>
                </c:pt>
                <c:pt idx="119">
                  <c:v>0.37878787878787878</c:v>
                </c:pt>
                <c:pt idx="120">
                  <c:v>0.41666666666666669</c:v>
                </c:pt>
                <c:pt idx="121">
                  <c:v>0.45454545454545453</c:v>
                </c:pt>
                <c:pt idx="122">
                  <c:v>0.49242424242424243</c:v>
                </c:pt>
                <c:pt idx="123">
                  <c:v>0.53030303030303028</c:v>
                </c:pt>
                <c:pt idx="124">
                  <c:v>0.60606060606060608</c:v>
                </c:pt>
                <c:pt idx="125">
                  <c:v>0.68181818181818177</c:v>
                </c:pt>
                <c:pt idx="126">
                  <c:v>0.75757575757575757</c:v>
                </c:pt>
                <c:pt idx="127">
                  <c:v>0.83333333333333337</c:v>
                </c:pt>
                <c:pt idx="128">
                  <c:v>0.90909090909090906</c:v>
                </c:pt>
                <c:pt idx="129">
                  <c:v>0.98484848484848486</c:v>
                </c:pt>
                <c:pt idx="130" formatCode="0.000_ ">
                  <c:v>1.0606060606060606</c:v>
                </c:pt>
                <c:pt idx="131" formatCode="0.000_ ">
                  <c:v>1.1363636363636365</c:v>
                </c:pt>
                <c:pt idx="132" formatCode="0.000_ ">
                  <c:v>1.2121212121212122</c:v>
                </c:pt>
                <c:pt idx="133" formatCode="0.000_ ">
                  <c:v>1.2878787878787878</c:v>
                </c:pt>
                <c:pt idx="134" formatCode="0.000_ ">
                  <c:v>1.3636363636363635</c:v>
                </c:pt>
                <c:pt idx="135" formatCode="0.000_ ">
                  <c:v>1.5151515151515151</c:v>
                </c:pt>
                <c:pt idx="136" formatCode="0.000_ ">
                  <c:v>1.7045454545454546</c:v>
                </c:pt>
                <c:pt idx="137" formatCode="0.000_ ">
                  <c:v>1.893939393939394</c:v>
                </c:pt>
                <c:pt idx="138" formatCode="0.000_ ">
                  <c:v>2.0833333333333335</c:v>
                </c:pt>
                <c:pt idx="139" formatCode="0.000_ ">
                  <c:v>2.2727272727272729</c:v>
                </c:pt>
                <c:pt idx="140" formatCode="0.000_ ">
                  <c:v>2.4621212121212119</c:v>
                </c:pt>
                <c:pt idx="141" formatCode="0.000_ ">
                  <c:v>2.6515151515151514</c:v>
                </c:pt>
                <c:pt idx="142" formatCode="0.000_ ">
                  <c:v>2.8409090909090908</c:v>
                </c:pt>
                <c:pt idx="143" formatCode="0.000_ ">
                  <c:v>3.0303030303030303</c:v>
                </c:pt>
                <c:pt idx="144" formatCode="0.000_ ">
                  <c:v>3.4090909090909092</c:v>
                </c:pt>
                <c:pt idx="145" formatCode="0.000_ ">
                  <c:v>3.7878787878787881</c:v>
                </c:pt>
                <c:pt idx="146" formatCode="0.000_ ">
                  <c:v>4.166666666666667</c:v>
                </c:pt>
                <c:pt idx="147" formatCode="0.000_ ">
                  <c:v>4.5454545454545459</c:v>
                </c:pt>
                <c:pt idx="148" formatCode="0.000_ ">
                  <c:v>4.9242424242424239</c:v>
                </c:pt>
                <c:pt idx="149" formatCode="0.000_ ">
                  <c:v>5.3030303030303028</c:v>
                </c:pt>
                <c:pt idx="150" formatCode="0.000_ ">
                  <c:v>6.0606060606060606</c:v>
                </c:pt>
                <c:pt idx="151" formatCode="0.000_ ">
                  <c:v>6.8181818181818183</c:v>
                </c:pt>
                <c:pt idx="152" formatCode="0.000_ ">
                  <c:v>7.5757575757575761</c:v>
                </c:pt>
                <c:pt idx="153" formatCode="0.000_ ">
                  <c:v>8.3333333333333339</c:v>
                </c:pt>
                <c:pt idx="154" formatCode="0.000_ ">
                  <c:v>9.0909090909090917</c:v>
                </c:pt>
                <c:pt idx="155" formatCode="0.000_ ">
                  <c:v>9.8484848484848477</c:v>
                </c:pt>
                <c:pt idx="156" formatCode="0.000_ ">
                  <c:v>10.606060606060606</c:v>
                </c:pt>
                <c:pt idx="157" formatCode="0.000_ ">
                  <c:v>11.363636363636363</c:v>
                </c:pt>
                <c:pt idx="158" formatCode="0.000_ ">
                  <c:v>12.121212121212121</c:v>
                </c:pt>
                <c:pt idx="159" formatCode="0.000_ ">
                  <c:v>12.878787878787879</c:v>
                </c:pt>
                <c:pt idx="160" formatCode="0.000_ ">
                  <c:v>13.636363636363637</c:v>
                </c:pt>
                <c:pt idx="161" formatCode="0.000_ ">
                  <c:v>15.151515151515152</c:v>
                </c:pt>
                <c:pt idx="162" formatCode="0.000_ ">
                  <c:v>17.045454545454547</c:v>
                </c:pt>
                <c:pt idx="163" formatCode="0.000_ ">
                  <c:v>18.939393939393938</c:v>
                </c:pt>
                <c:pt idx="164" formatCode="0.000_ ">
                  <c:v>20.833333333333332</c:v>
                </c:pt>
                <c:pt idx="165" formatCode="0.000_ ">
                  <c:v>22.727272727272727</c:v>
                </c:pt>
                <c:pt idx="166" formatCode="0.000_ ">
                  <c:v>24.621212121212121</c:v>
                </c:pt>
                <c:pt idx="167" formatCode="0.000_ ">
                  <c:v>26.515151515151516</c:v>
                </c:pt>
                <c:pt idx="168" formatCode="0.000_ ">
                  <c:v>28.40909090909091</c:v>
                </c:pt>
                <c:pt idx="169" formatCode="0.000_ ">
                  <c:v>30.303030303030305</c:v>
                </c:pt>
                <c:pt idx="170" formatCode="0.000_ ">
                  <c:v>34.090909090909093</c:v>
                </c:pt>
                <c:pt idx="171" formatCode="0.000_ ">
                  <c:v>37.878787878787875</c:v>
                </c:pt>
                <c:pt idx="172" formatCode="0.000_ ">
                  <c:v>41.666666666666664</c:v>
                </c:pt>
                <c:pt idx="173" formatCode="0.000_ ">
                  <c:v>45.454545454545453</c:v>
                </c:pt>
                <c:pt idx="174" formatCode="0.000_ ">
                  <c:v>49.242424242424242</c:v>
                </c:pt>
                <c:pt idx="175" formatCode="0.000_ ">
                  <c:v>53.030303030303031</c:v>
                </c:pt>
                <c:pt idx="176" formatCode="0.000_ ">
                  <c:v>60.606060606060609</c:v>
                </c:pt>
                <c:pt idx="177" formatCode="0.000_ ">
                  <c:v>68.181818181818187</c:v>
                </c:pt>
                <c:pt idx="178" formatCode="0.000_ ">
                  <c:v>75.757575757575751</c:v>
                </c:pt>
                <c:pt idx="179" formatCode="0.000_ ">
                  <c:v>83.333333333333329</c:v>
                </c:pt>
                <c:pt idx="180" formatCode="0.000_ ">
                  <c:v>90.909090909090907</c:v>
                </c:pt>
                <c:pt idx="181" formatCode="0.000_ ">
                  <c:v>98.484848484848484</c:v>
                </c:pt>
                <c:pt idx="182" formatCode="0.00_ ">
                  <c:v>106.06060606060606</c:v>
                </c:pt>
                <c:pt idx="183" formatCode="0.00_ ">
                  <c:v>113.63636363636364</c:v>
                </c:pt>
                <c:pt idx="184" formatCode="0.00_ ">
                  <c:v>121.21212121212122</c:v>
                </c:pt>
                <c:pt idx="185" formatCode="0.00_ ">
                  <c:v>128.78787878787878</c:v>
                </c:pt>
                <c:pt idx="186" formatCode="0.00_ ">
                  <c:v>136.36363636363637</c:v>
                </c:pt>
                <c:pt idx="187" formatCode="0.00_ ">
                  <c:v>151.5151515151515</c:v>
                </c:pt>
                <c:pt idx="188" formatCode="0.00_ ">
                  <c:v>170.45454545454547</c:v>
                </c:pt>
                <c:pt idx="189" formatCode="0.00_ ">
                  <c:v>189.39393939393941</c:v>
                </c:pt>
                <c:pt idx="190" formatCode="0.00_ ">
                  <c:v>208.33333333333334</c:v>
                </c:pt>
                <c:pt idx="191" formatCode="0.00_ ">
                  <c:v>227.27272727272728</c:v>
                </c:pt>
                <c:pt idx="192" formatCode="0.00_ ">
                  <c:v>246.21212121212122</c:v>
                </c:pt>
                <c:pt idx="193" formatCode="0.00_ ">
                  <c:v>265.15151515151513</c:v>
                </c:pt>
                <c:pt idx="194" formatCode="0.00_ ">
                  <c:v>284.09090909090907</c:v>
                </c:pt>
                <c:pt idx="195" formatCode="0.00_ ">
                  <c:v>303.030303030303</c:v>
                </c:pt>
                <c:pt idx="196" formatCode="0.00_ ">
                  <c:v>340.90909090909093</c:v>
                </c:pt>
                <c:pt idx="197" formatCode="0.00_ ">
                  <c:v>378.78787878787881</c:v>
                </c:pt>
                <c:pt idx="198" formatCode="0.00_ ">
                  <c:v>416.66666666666669</c:v>
                </c:pt>
                <c:pt idx="199" formatCode="0.00_ ">
                  <c:v>454.54545454545456</c:v>
                </c:pt>
                <c:pt idx="200" formatCode="0.00_ ">
                  <c:v>492.42424242424244</c:v>
                </c:pt>
                <c:pt idx="201" formatCode="0.00_ ">
                  <c:v>530.30303030303025</c:v>
                </c:pt>
                <c:pt idx="202" formatCode="0.00_ ">
                  <c:v>606.06060606060601</c:v>
                </c:pt>
                <c:pt idx="203" formatCode="0.00_ ">
                  <c:v>681.81818181818187</c:v>
                </c:pt>
                <c:pt idx="204" formatCode="0.00_ ">
                  <c:v>757.57575757575762</c:v>
                </c:pt>
                <c:pt idx="205" formatCode="0.00_ ">
                  <c:v>833.33333333333337</c:v>
                </c:pt>
                <c:pt idx="206" formatCode="0.00_ ">
                  <c:v>909.09090909090912</c:v>
                </c:pt>
                <c:pt idx="207" formatCode="0.00_ ">
                  <c:v>984.84848484848487</c:v>
                </c:pt>
                <c:pt idx="208" formatCode="0.00_ ">
                  <c:v>1000</c:v>
                </c:pt>
              </c:numCache>
            </c:numRef>
          </c:xVal>
          <c:yVal>
            <c:numRef>
              <c:f>'dbg33'!$W$11:$W$219</c:f>
              <c:numCache>
                <c:formatCode>0.000_ </c:formatCode>
                <c:ptCount val="209"/>
                <c:pt idx="0">
                  <c:v>1.0606060606060606E-5</c:v>
                </c:pt>
                <c:pt idx="1">
                  <c:v>1.1363636363636365E-5</c:v>
                </c:pt>
                <c:pt idx="2">
                  <c:v>1.2121212121212122E-5</c:v>
                </c:pt>
                <c:pt idx="3">
                  <c:v>1.2878787878787878E-5</c:v>
                </c:pt>
                <c:pt idx="4">
                  <c:v>1.3636363636363637E-5</c:v>
                </c:pt>
                <c:pt idx="5">
                  <c:v>1.5151515151515151E-5</c:v>
                </c:pt>
                <c:pt idx="6">
                  <c:v>1.7045454545454543E-5</c:v>
                </c:pt>
                <c:pt idx="7">
                  <c:v>1.8939393939393939E-5</c:v>
                </c:pt>
                <c:pt idx="8">
                  <c:v>2.0833333333333333E-5</c:v>
                </c:pt>
                <c:pt idx="9">
                  <c:v>2.2727272727272729E-5</c:v>
                </c:pt>
                <c:pt idx="10">
                  <c:v>2.4621212121212119E-5</c:v>
                </c:pt>
                <c:pt idx="11">
                  <c:v>2.6515151515151516E-5</c:v>
                </c:pt>
                <c:pt idx="12">
                  <c:v>2.8409090909090909E-5</c:v>
                </c:pt>
                <c:pt idx="13">
                  <c:v>3.0303030303030302E-5</c:v>
                </c:pt>
                <c:pt idx="14">
                  <c:v>3.4090909090909085E-5</c:v>
                </c:pt>
                <c:pt idx="15">
                  <c:v>3.7878787878787879E-5</c:v>
                </c:pt>
                <c:pt idx="16">
                  <c:v>4.1666666666666665E-5</c:v>
                </c:pt>
                <c:pt idx="17">
                  <c:v>4.5454545454545459E-5</c:v>
                </c:pt>
                <c:pt idx="18">
                  <c:v>4.9242424242424238E-5</c:v>
                </c:pt>
                <c:pt idx="19">
                  <c:v>5.3030303030303032E-5</c:v>
                </c:pt>
                <c:pt idx="20">
                  <c:v>6.0606060606060605E-5</c:v>
                </c:pt>
                <c:pt idx="21">
                  <c:v>6.8181818181818171E-5</c:v>
                </c:pt>
                <c:pt idx="22">
                  <c:v>7.5757575757575758E-5</c:v>
                </c:pt>
                <c:pt idx="23">
                  <c:v>8.3333333333333331E-5</c:v>
                </c:pt>
                <c:pt idx="24">
                  <c:v>9.0909090909090917E-5</c:v>
                </c:pt>
                <c:pt idx="25">
                  <c:v>9.8484848484848477E-5</c:v>
                </c:pt>
                <c:pt idx="26">
                  <c:v>1.0606060606060606E-4</c:v>
                </c:pt>
                <c:pt idx="27">
                  <c:v>1.1363636363636364E-4</c:v>
                </c:pt>
                <c:pt idx="28">
                  <c:v>1.2121212121212121E-4</c:v>
                </c:pt>
                <c:pt idx="29">
                  <c:v>1.2878787878787881E-4</c:v>
                </c:pt>
                <c:pt idx="30">
                  <c:v>1.3636363636363634E-4</c:v>
                </c:pt>
                <c:pt idx="31">
                  <c:v>1.5151515151515152E-4</c:v>
                </c:pt>
                <c:pt idx="32">
                  <c:v>1.7045454545454544E-4</c:v>
                </c:pt>
                <c:pt idx="33">
                  <c:v>1.8939393939393939E-4</c:v>
                </c:pt>
                <c:pt idx="34">
                  <c:v>2.0833333333333335E-4</c:v>
                </c:pt>
                <c:pt idx="35">
                  <c:v>2.2727272727272727E-4</c:v>
                </c:pt>
                <c:pt idx="36">
                  <c:v>2.4621212121212123E-4</c:v>
                </c:pt>
                <c:pt idx="37">
                  <c:v>2.6515151515151518E-4</c:v>
                </c:pt>
                <c:pt idx="38">
                  <c:v>2.8409090909090908E-4</c:v>
                </c:pt>
                <c:pt idx="39">
                  <c:v>3.0303030303030303E-4</c:v>
                </c:pt>
                <c:pt idx="40">
                  <c:v>3.4090909090909088E-4</c:v>
                </c:pt>
                <c:pt idx="41">
                  <c:v>3.7878787878787879E-4</c:v>
                </c:pt>
                <c:pt idx="42">
                  <c:v>4.1666666666666669E-4</c:v>
                </c:pt>
                <c:pt idx="43">
                  <c:v>4.5454545454545455E-4</c:v>
                </c:pt>
                <c:pt idx="44">
                  <c:v>4.9242424242424245E-4</c:v>
                </c:pt>
                <c:pt idx="45">
                  <c:v>5.3030303030303036E-4</c:v>
                </c:pt>
                <c:pt idx="46">
                  <c:v>6.0606060606060606E-4</c:v>
                </c:pt>
                <c:pt idx="47">
                  <c:v>6.8181818181818176E-4</c:v>
                </c:pt>
                <c:pt idx="48">
                  <c:v>7.5757575757575758E-4</c:v>
                </c:pt>
                <c:pt idx="49">
                  <c:v>8.3333333333333339E-4</c:v>
                </c:pt>
                <c:pt idx="50">
                  <c:v>9.0909090909090909E-4</c:v>
                </c:pt>
                <c:pt idx="51">
                  <c:v>9.848484848484849E-4</c:v>
                </c:pt>
                <c:pt idx="52">
                  <c:v>1.0606060606060607E-3</c:v>
                </c:pt>
                <c:pt idx="53">
                  <c:v>1.1363636363636363E-3</c:v>
                </c:pt>
                <c:pt idx="54">
                  <c:v>1.2121212121212121E-3</c:v>
                </c:pt>
                <c:pt idx="55">
                  <c:v>1.2878787878787879E-3</c:v>
                </c:pt>
                <c:pt idx="56">
                  <c:v>1.3636363636363635E-3</c:v>
                </c:pt>
                <c:pt idx="57">
                  <c:v>1.5151515151515152E-3</c:v>
                </c:pt>
                <c:pt idx="58">
                  <c:v>1.7045454545454547E-3</c:v>
                </c:pt>
                <c:pt idx="59">
                  <c:v>1.893939393939394E-3</c:v>
                </c:pt>
                <c:pt idx="60">
                  <c:v>2.0833333333333333E-3</c:v>
                </c:pt>
                <c:pt idx="61">
                  <c:v>2.2727272727272726E-3</c:v>
                </c:pt>
                <c:pt idx="62">
                  <c:v>2.4621212121212124E-3</c:v>
                </c:pt>
                <c:pt idx="63">
                  <c:v>2.6515151515151512E-3</c:v>
                </c:pt>
                <c:pt idx="64">
                  <c:v>2.840909090909091E-3</c:v>
                </c:pt>
                <c:pt idx="65">
                  <c:v>3.0303030303030303E-3</c:v>
                </c:pt>
                <c:pt idx="66">
                  <c:v>3.4090909090909094E-3</c:v>
                </c:pt>
                <c:pt idx="67">
                  <c:v>3.787878787878788E-3</c:v>
                </c:pt>
                <c:pt idx="68">
                  <c:v>4.1666666666666666E-3</c:v>
                </c:pt>
                <c:pt idx="69">
                  <c:v>4.5454545454545452E-3</c:v>
                </c:pt>
                <c:pt idx="70">
                  <c:v>4.9242424242424247E-3</c:v>
                </c:pt>
                <c:pt idx="71">
                  <c:v>5.3030303030303025E-3</c:v>
                </c:pt>
                <c:pt idx="72">
                  <c:v>6.0606060606060606E-3</c:v>
                </c:pt>
                <c:pt idx="73">
                  <c:v>6.8181818181818187E-3</c:v>
                </c:pt>
                <c:pt idx="74">
                  <c:v>7.575757575757576E-3</c:v>
                </c:pt>
                <c:pt idx="75">
                  <c:v>8.3333333333333332E-3</c:v>
                </c:pt>
                <c:pt idx="76">
                  <c:v>9.0909090909090905E-3</c:v>
                </c:pt>
                <c:pt idx="77">
                  <c:v>9.8484848484848495E-3</c:v>
                </c:pt>
                <c:pt idx="78">
                  <c:v>1.0606060606060605E-2</c:v>
                </c:pt>
                <c:pt idx="79">
                  <c:v>1.1363636363636364E-2</c:v>
                </c:pt>
                <c:pt idx="80">
                  <c:v>1.2121212121212121E-2</c:v>
                </c:pt>
                <c:pt idx="81">
                  <c:v>1.2878787878787878E-2</c:v>
                </c:pt>
                <c:pt idx="82">
                  <c:v>1.3636363636363637E-2</c:v>
                </c:pt>
                <c:pt idx="83">
                  <c:v>1.5151515151515152E-2</c:v>
                </c:pt>
                <c:pt idx="84">
                  <c:v>1.7045454545454544E-2</c:v>
                </c:pt>
                <c:pt idx="85">
                  <c:v>1.893939393939394E-2</c:v>
                </c:pt>
                <c:pt idx="86">
                  <c:v>2.0833333333333332E-2</c:v>
                </c:pt>
                <c:pt idx="87">
                  <c:v>2.2727272727272728E-2</c:v>
                </c:pt>
                <c:pt idx="88">
                  <c:v>2.462121212121212E-2</c:v>
                </c:pt>
                <c:pt idx="89">
                  <c:v>2.6515151515151516E-2</c:v>
                </c:pt>
                <c:pt idx="90">
                  <c:v>2.8409090909090908E-2</c:v>
                </c:pt>
                <c:pt idx="91">
                  <c:v>3.0303030303030304E-2</c:v>
                </c:pt>
                <c:pt idx="92">
                  <c:v>3.4090909090909088E-2</c:v>
                </c:pt>
                <c:pt idx="93">
                  <c:v>3.787878787878788E-2</c:v>
                </c:pt>
                <c:pt idx="94">
                  <c:v>4.1666666666666664E-2</c:v>
                </c:pt>
                <c:pt idx="95">
                  <c:v>4.5454545454545456E-2</c:v>
                </c:pt>
                <c:pt idx="96">
                  <c:v>4.924242424242424E-2</c:v>
                </c:pt>
                <c:pt idx="97">
                  <c:v>5.3030303030303032E-2</c:v>
                </c:pt>
                <c:pt idx="98">
                  <c:v>6.0606060606060608E-2</c:v>
                </c:pt>
                <c:pt idx="99">
                  <c:v>6.8181818181818177E-2</c:v>
                </c:pt>
                <c:pt idx="100">
                  <c:v>7.575757575757576E-2</c:v>
                </c:pt>
                <c:pt idx="101">
                  <c:v>8.3333333333333329E-2</c:v>
                </c:pt>
                <c:pt idx="102">
                  <c:v>9.0909090909090912E-2</c:v>
                </c:pt>
                <c:pt idx="103">
                  <c:v>9.8484848484848481E-2</c:v>
                </c:pt>
                <c:pt idx="104">
                  <c:v>0.10606060606060606</c:v>
                </c:pt>
                <c:pt idx="105">
                  <c:v>0.11363636363636363</c:v>
                </c:pt>
                <c:pt idx="106">
                  <c:v>0.12121212121212122</c:v>
                </c:pt>
                <c:pt idx="107">
                  <c:v>0.12878787878787878</c:v>
                </c:pt>
                <c:pt idx="108">
                  <c:v>0.13636363636363635</c:v>
                </c:pt>
                <c:pt idx="109">
                  <c:v>0.15151515151515152</c:v>
                </c:pt>
                <c:pt idx="110">
                  <c:v>0.17045454545454544</c:v>
                </c:pt>
                <c:pt idx="111">
                  <c:v>0.18939393939393939</c:v>
                </c:pt>
                <c:pt idx="112">
                  <c:v>0.20833333333333334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995-4BE7-A1D1-58C3354EF0C6}"/>
            </c:ext>
          </c:extLst>
        </c:ser>
        <c:ser>
          <c:idx val="3"/>
          <c:order val="2"/>
          <c:tx>
            <c:v>ws2 dEu2</c:v>
          </c:tx>
          <c:spPr>
            <a:ln w="12700">
              <a:solidFill>
                <a:srgbClr val="0000FF"/>
              </a:solidFill>
            </a:ln>
          </c:spPr>
          <c:marker>
            <c:symbol val="triangle"/>
            <c:size val="3"/>
            <c:spPr>
              <a:noFill/>
              <a:ln>
                <a:solidFill>
                  <a:srgbClr val="0000FF"/>
                </a:solidFill>
              </a:ln>
            </c:spPr>
          </c:marker>
          <c:xVal>
            <c:numRef>
              <c:f>'dbg33'!$AB$11:$AB$219</c:f>
              <c:numCache>
                <c:formatCode>0.00000_ </c:formatCode>
                <c:ptCount val="209"/>
                <c:pt idx="0">
                  <c:v>9.9999750000000008E-6</c:v>
                </c:pt>
                <c:pt idx="1">
                  <c:v>1.1249975000000001E-5</c:v>
                </c:pt>
                <c:pt idx="2">
                  <c:v>1.2499975000000001E-5</c:v>
                </c:pt>
                <c:pt idx="3">
                  <c:v>1.3749975E-5</c:v>
                </c:pt>
                <c:pt idx="4">
                  <c:v>1.4999975E-5</c:v>
                </c:pt>
                <c:pt idx="5">
                  <c:v>1.6249975E-5</c:v>
                </c:pt>
                <c:pt idx="6">
                  <c:v>1.7499975E-5</c:v>
                </c:pt>
                <c:pt idx="7">
                  <c:v>1.9999975E-5</c:v>
                </c:pt>
                <c:pt idx="8">
                  <c:v>2.2499975000000003E-5</c:v>
                </c:pt>
                <c:pt idx="9">
                  <c:v>2.4999975000000003E-5</c:v>
                </c:pt>
                <c:pt idx="10">
                  <c:v>2.7500000000000001E-5</c:v>
                </c:pt>
                <c:pt idx="11">
                  <c:v>2.9999999999999997E-5</c:v>
                </c:pt>
                <c:pt idx="12">
                  <c:v>3.2499999999999997E-5</c:v>
                </c:pt>
                <c:pt idx="13">
                  <c:v>3.4999999999999997E-5</c:v>
                </c:pt>
                <c:pt idx="14">
                  <c:v>3.7500000000000003E-5</c:v>
                </c:pt>
                <c:pt idx="15">
                  <c:v>4.0000000000000003E-5</c:v>
                </c:pt>
                <c:pt idx="16">
                  <c:v>4.2499999999999996E-5</c:v>
                </c:pt>
                <c:pt idx="17">
                  <c:v>4.4999999999999996E-5</c:v>
                </c:pt>
                <c:pt idx="18">
                  <c:v>5.0000000000000002E-5</c:v>
                </c:pt>
                <c:pt idx="19">
                  <c:v>5.6249999999999998E-5</c:v>
                </c:pt>
                <c:pt idx="20">
                  <c:v>6.2500000000000001E-5</c:v>
                </c:pt>
                <c:pt idx="21">
                  <c:v>6.8749999999999991E-5</c:v>
                </c:pt>
                <c:pt idx="22">
                  <c:v>7.5000000000000007E-5</c:v>
                </c:pt>
                <c:pt idx="23">
                  <c:v>8.1249999999999996E-5</c:v>
                </c:pt>
                <c:pt idx="24">
                  <c:v>8.7499999999999999E-5</c:v>
                </c:pt>
                <c:pt idx="25">
                  <c:v>9.3750000000000002E-5</c:v>
                </c:pt>
                <c:pt idx="26">
                  <c:v>1E-4</c:v>
                </c:pt>
                <c:pt idx="27">
                  <c:v>1.125E-4</c:v>
                </c:pt>
                <c:pt idx="28">
                  <c:v>1.25E-4</c:v>
                </c:pt>
                <c:pt idx="29">
                  <c:v>1.3749999999999998E-4</c:v>
                </c:pt>
                <c:pt idx="30">
                  <c:v>1.5000000000000001E-4</c:v>
                </c:pt>
                <c:pt idx="31">
                  <c:v>1.6249999999999999E-4</c:v>
                </c:pt>
                <c:pt idx="32">
                  <c:v>1.75E-4</c:v>
                </c:pt>
                <c:pt idx="33">
                  <c:v>2.0000000000000001E-4</c:v>
                </c:pt>
                <c:pt idx="34">
                  <c:v>2.2499999999999999E-4</c:v>
                </c:pt>
                <c:pt idx="35">
                  <c:v>2.5000000000000001E-4</c:v>
                </c:pt>
                <c:pt idx="36">
                  <c:v>2.7499999999999996E-4</c:v>
                </c:pt>
                <c:pt idx="37">
                  <c:v>3.0000000000000003E-4</c:v>
                </c:pt>
                <c:pt idx="38">
                  <c:v>3.2499999999999999E-4</c:v>
                </c:pt>
                <c:pt idx="39">
                  <c:v>3.5E-4</c:v>
                </c:pt>
                <c:pt idx="40">
                  <c:v>3.7500000000000001E-4</c:v>
                </c:pt>
                <c:pt idx="41">
                  <c:v>4.0000000000000002E-4</c:v>
                </c:pt>
                <c:pt idx="42">
                  <c:v>4.2500000000000003E-4</c:v>
                </c:pt>
                <c:pt idx="43">
                  <c:v>4.4999999999999999E-4</c:v>
                </c:pt>
                <c:pt idx="44">
                  <c:v>5.0000000000000001E-4</c:v>
                </c:pt>
                <c:pt idx="45">
                  <c:v>5.6249999999999996E-4</c:v>
                </c:pt>
                <c:pt idx="46">
                  <c:v>6.2500000000000001E-4</c:v>
                </c:pt>
                <c:pt idx="47">
                  <c:v>6.8749999999999996E-4</c:v>
                </c:pt>
                <c:pt idx="48">
                  <c:v>7.5000000000000002E-4</c:v>
                </c:pt>
                <c:pt idx="49">
                  <c:v>8.1250000000000007E-4</c:v>
                </c:pt>
                <c:pt idx="50">
                  <c:v>8.7500000000000013E-4</c:v>
                </c:pt>
                <c:pt idx="51">
                  <c:v>9.3749999999999997E-4</c:v>
                </c:pt>
                <c:pt idx="52">
                  <c:v>1E-3</c:v>
                </c:pt>
                <c:pt idx="53">
                  <c:v>1.1249999999999999E-3</c:v>
                </c:pt>
                <c:pt idx="54">
                  <c:v>1.25E-3</c:v>
                </c:pt>
                <c:pt idx="55">
                  <c:v>1.3749999999999999E-3</c:v>
                </c:pt>
                <c:pt idx="56">
                  <c:v>1.5E-3</c:v>
                </c:pt>
                <c:pt idx="57">
                  <c:v>1.6250000000000001E-3</c:v>
                </c:pt>
                <c:pt idx="58">
                  <c:v>1.7500000000000003E-3</c:v>
                </c:pt>
                <c:pt idx="59">
                  <c:v>2E-3</c:v>
                </c:pt>
                <c:pt idx="60">
                  <c:v>2.2499999999999998E-3</c:v>
                </c:pt>
                <c:pt idx="61">
                  <c:v>2.5000000000000001E-3</c:v>
                </c:pt>
                <c:pt idx="62">
                  <c:v>2.7499999999999998E-3</c:v>
                </c:pt>
                <c:pt idx="63">
                  <c:v>3.0000000000000001E-3</c:v>
                </c:pt>
                <c:pt idx="64">
                  <c:v>3.2500000000000003E-3</c:v>
                </c:pt>
                <c:pt idx="65">
                  <c:v>3.5000000000000005E-3</c:v>
                </c:pt>
                <c:pt idx="66">
                  <c:v>3.7499999999999999E-3</c:v>
                </c:pt>
                <c:pt idx="67">
                  <c:v>4.0000000000000001E-3</c:v>
                </c:pt>
                <c:pt idx="68">
                  <c:v>4.2500000000000003E-3</c:v>
                </c:pt>
                <c:pt idx="69">
                  <c:v>4.4999999999999997E-3</c:v>
                </c:pt>
                <c:pt idx="70">
                  <c:v>5.0000000000000001E-3</c:v>
                </c:pt>
                <c:pt idx="71">
                  <c:v>5.6249999999999998E-3</c:v>
                </c:pt>
                <c:pt idx="72">
                  <c:v>6.2500000000000003E-3</c:v>
                </c:pt>
                <c:pt idx="73">
                  <c:v>6.8750000000000009E-3</c:v>
                </c:pt>
                <c:pt idx="74">
                  <c:v>7.4999999999999997E-3</c:v>
                </c:pt>
                <c:pt idx="75">
                  <c:v>8.1250000000000003E-3</c:v>
                </c:pt>
                <c:pt idx="76">
                  <c:v>8.7499999999999991E-3</c:v>
                </c:pt>
                <c:pt idx="77">
                  <c:v>9.3749999999999997E-3</c:v>
                </c:pt>
                <c:pt idx="78">
                  <c:v>0.01</c:v>
                </c:pt>
                <c:pt idx="79">
                  <c:v>1.125E-2</c:v>
                </c:pt>
                <c:pt idx="80">
                  <c:v>1.2500000000000001E-2</c:v>
                </c:pt>
                <c:pt idx="81">
                  <c:v>1.3750000000000002E-2</c:v>
                </c:pt>
                <c:pt idx="82">
                  <c:v>1.4999999999999999E-2</c:v>
                </c:pt>
                <c:pt idx="83">
                  <c:v>1.6250000000000001E-2</c:v>
                </c:pt>
                <c:pt idx="84">
                  <c:v>1.7499999999999998E-2</c:v>
                </c:pt>
                <c:pt idx="85">
                  <c:v>0.02</c:v>
                </c:pt>
                <c:pt idx="86">
                  <c:v>2.2499999999999999E-2</c:v>
                </c:pt>
                <c:pt idx="87">
                  <c:v>2.5000000000000001E-2</c:v>
                </c:pt>
                <c:pt idx="88">
                  <c:v>2.7500000000000004E-2</c:v>
                </c:pt>
                <c:pt idx="89">
                  <c:v>0.03</c:v>
                </c:pt>
                <c:pt idx="90">
                  <c:v>3.2500000000000001E-2</c:v>
                </c:pt>
                <c:pt idx="91">
                  <c:v>3.4999999999999996E-2</c:v>
                </c:pt>
                <c:pt idx="92">
                  <c:v>3.7499999999999999E-2</c:v>
                </c:pt>
                <c:pt idx="93">
                  <c:v>0.04</c:v>
                </c:pt>
                <c:pt idx="94">
                  <c:v>4.2499999999999996E-2</c:v>
                </c:pt>
                <c:pt idx="95">
                  <c:v>4.4999999999999998E-2</c:v>
                </c:pt>
                <c:pt idx="96">
                  <c:v>0.05</c:v>
                </c:pt>
                <c:pt idx="97">
                  <c:v>5.6250000000000001E-2</c:v>
                </c:pt>
                <c:pt idx="98">
                  <c:v>6.25E-2</c:v>
                </c:pt>
                <c:pt idx="99">
                  <c:v>6.8750000000000006E-2</c:v>
                </c:pt>
                <c:pt idx="100">
                  <c:v>7.4999999999999997E-2</c:v>
                </c:pt>
                <c:pt idx="101">
                  <c:v>8.1250000000000003E-2</c:v>
                </c:pt>
                <c:pt idx="102">
                  <c:v>8.7499999999999994E-2</c:v>
                </c:pt>
                <c:pt idx="103">
                  <c:v>9.375E-2</c:v>
                </c:pt>
                <c:pt idx="104">
                  <c:v>0.1</c:v>
                </c:pt>
                <c:pt idx="105">
                  <c:v>0.1125</c:v>
                </c:pt>
                <c:pt idx="106">
                  <c:v>0.125</c:v>
                </c:pt>
                <c:pt idx="107">
                  <c:v>0.13750000000000001</c:v>
                </c:pt>
                <c:pt idx="108">
                  <c:v>0.15</c:v>
                </c:pt>
                <c:pt idx="109">
                  <c:v>0.16250000000000001</c:v>
                </c:pt>
                <c:pt idx="110">
                  <c:v>0.17499999999999999</c:v>
                </c:pt>
                <c:pt idx="111">
                  <c:v>0.2</c:v>
                </c:pt>
                <c:pt idx="112">
                  <c:v>0.22500000000000001</c:v>
                </c:pt>
                <c:pt idx="113">
                  <c:v>0.25</c:v>
                </c:pt>
                <c:pt idx="114">
                  <c:v>0.27500000000000002</c:v>
                </c:pt>
                <c:pt idx="115">
                  <c:v>0.3</c:v>
                </c:pt>
                <c:pt idx="116">
                  <c:v>0.32500000000000001</c:v>
                </c:pt>
                <c:pt idx="117">
                  <c:v>0.35</c:v>
                </c:pt>
                <c:pt idx="118">
                  <c:v>0.375</c:v>
                </c:pt>
                <c:pt idx="119">
                  <c:v>0.4</c:v>
                </c:pt>
                <c:pt idx="120">
                  <c:v>0.42499999999999999</c:v>
                </c:pt>
                <c:pt idx="121">
                  <c:v>0.45</c:v>
                </c:pt>
                <c:pt idx="122">
                  <c:v>0.5</c:v>
                </c:pt>
                <c:pt idx="123">
                  <c:v>0.5625</c:v>
                </c:pt>
                <c:pt idx="124">
                  <c:v>0.625</c:v>
                </c:pt>
                <c:pt idx="125">
                  <c:v>0.6875</c:v>
                </c:pt>
                <c:pt idx="126">
                  <c:v>0.75</c:v>
                </c:pt>
                <c:pt idx="127">
                  <c:v>0.8125</c:v>
                </c:pt>
                <c:pt idx="128">
                  <c:v>0.875</c:v>
                </c:pt>
                <c:pt idx="129">
                  <c:v>0.9375</c:v>
                </c:pt>
                <c:pt idx="130" formatCode="0.000_ ">
                  <c:v>1</c:v>
                </c:pt>
                <c:pt idx="131" formatCode="0.000_ ">
                  <c:v>1.125</c:v>
                </c:pt>
                <c:pt idx="132" formatCode="0.000_ ">
                  <c:v>1.25</c:v>
                </c:pt>
                <c:pt idx="133" formatCode="0.000_ ">
                  <c:v>1.375</c:v>
                </c:pt>
                <c:pt idx="134" formatCode="0.000_ ">
                  <c:v>1.5</c:v>
                </c:pt>
                <c:pt idx="135" formatCode="0.000_ ">
                  <c:v>1.625</c:v>
                </c:pt>
                <c:pt idx="136" formatCode="0.000_ ">
                  <c:v>1.75</c:v>
                </c:pt>
                <c:pt idx="137" formatCode="0.000_ ">
                  <c:v>2</c:v>
                </c:pt>
                <c:pt idx="138" formatCode="0.000_ ">
                  <c:v>2.25</c:v>
                </c:pt>
                <c:pt idx="139" formatCode="0.000_ ">
                  <c:v>2.5</c:v>
                </c:pt>
                <c:pt idx="140" formatCode="0.000_ ">
                  <c:v>2.75</c:v>
                </c:pt>
                <c:pt idx="141" formatCode="0.000_ ">
                  <c:v>3</c:v>
                </c:pt>
                <c:pt idx="142" formatCode="0.000_ ">
                  <c:v>3.25</c:v>
                </c:pt>
                <c:pt idx="143" formatCode="0.000_ ">
                  <c:v>3.5</c:v>
                </c:pt>
                <c:pt idx="144" formatCode="0.000_ ">
                  <c:v>3.75</c:v>
                </c:pt>
                <c:pt idx="145" formatCode="0.000_ ">
                  <c:v>4</c:v>
                </c:pt>
                <c:pt idx="146" formatCode="0.000_ ">
                  <c:v>4.25</c:v>
                </c:pt>
                <c:pt idx="147" formatCode="0.000_ ">
                  <c:v>4.5</c:v>
                </c:pt>
                <c:pt idx="148" formatCode="0.000_ ">
                  <c:v>5</c:v>
                </c:pt>
                <c:pt idx="149" formatCode="0.000_ ">
                  <c:v>5.625</c:v>
                </c:pt>
                <c:pt idx="150" formatCode="0.000_ ">
                  <c:v>6.25</c:v>
                </c:pt>
                <c:pt idx="151" formatCode="0.000_ ">
                  <c:v>6.875</c:v>
                </c:pt>
                <c:pt idx="152" formatCode="0.000_ ">
                  <c:v>7.5</c:v>
                </c:pt>
                <c:pt idx="153" formatCode="0.000_ ">
                  <c:v>8.125</c:v>
                </c:pt>
                <c:pt idx="154" formatCode="0.000_ ">
                  <c:v>8.75</c:v>
                </c:pt>
                <c:pt idx="155" formatCode="0.000_ ">
                  <c:v>9.375</c:v>
                </c:pt>
                <c:pt idx="156" formatCode="0.000_ ">
                  <c:v>10</c:v>
                </c:pt>
                <c:pt idx="157" formatCode="0.000_ ">
                  <c:v>11.25</c:v>
                </c:pt>
                <c:pt idx="158" formatCode="0.000_ ">
                  <c:v>12.5</c:v>
                </c:pt>
                <c:pt idx="159" formatCode="0.000_ ">
                  <c:v>13.75</c:v>
                </c:pt>
                <c:pt idx="160" formatCode="0.000_ ">
                  <c:v>15</c:v>
                </c:pt>
                <c:pt idx="161" formatCode="0.000_ ">
                  <c:v>16.25</c:v>
                </c:pt>
                <c:pt idx="162" formatCode="0.000_ ">
                  <c:v>17.5</c:v>
                </c:pt>
                <c:pt idx="163" formatCode="0.000_ ">
                  <c:v>20</c:v>
                </c:pt>
                <c:pt idx="164" formatCode="0.000_ ">
                  <c:v>22.5</c:v>
                </c:pt>
                <c:pt idx="165" formatCode="0.000_ ">
                  <c:v>25</c:v>
                </c:pt>
                <c:pt idx="166" formatCode="0.000_ ">
                  <c:v>27.5</c:v>
                </c:pt>
                <c:pt idx="167" formatCode="0.000_ ">
                  <c:v>30</c:v>
                </c:pt>
                <c:pt idx="168" formatCode="0.000_ ">
                  <c:v>32.5</c:v>
                </c:pt>
                <c:pt idx="169" formatCode="0.000_ ">
                  <c:v>35</c:v>
                </c:pt>
                <c:pt idx="170" formatCode="0.000_ ">
                  <c:v>37.5</c:v>
                </c:pt>
                <c:pt idx="171" formatCode="0.000_ ">
                  <c:v>40</c:v>
                </c:pt>
                <c:pt idx="172" formatCode="0.000_ ">
                  <c:v>42.5</c:v>
                </c:pt>
                <c:pt idx="173" formatCode="0.000_ ">
                  <c:v>45</c:v>
                </c:pt>
                <c:pt idx="174" formatCode="0.000_ ">
                  <c:v>50</c:v>
                </c:pt>
                <c:pt idx="175" formatCode="0.000_ ">
                  <c:v>56.25</c:v>
                </c:pt>
                <c:pt idx="176" formatCode="0.000_ ">
                  <c:v>62.5</c:v>
                </c:pt>
                <c:pt idx="177" formatCode="0.000_ ">
                  <c:v>68.75</c:v>
                </c:pt>
                <c:pt idx="178" formatCode="0.000_ ">
                  <c:v>75</c:v>
                </c:pt>
                <c:pt idx="179" formatCode="0.000_ ">
                  <c:v>81.25</c:v>
                </c:pt>
                <c:pt idx="180" formatCode="0.000_ ">
                  <c:v>87.5</c:v>
                </c:pt>
                <c:pt idx="181" formatCode="0.000_ ">
                  <c:v>93.75</c:v>
                </c:pt>
                <c:pt idx="182" formatCode="0.00_ ">
                  <c:v>100</c:v>
                </c:pt>
                <c:pt idx="183" formatCode="0.00_ ">
                  <c:v>112.5</c:v>
                </c:pt>
                <c:pt idx="184" formatCode="0.00_ ">
                  <c:v>125</c:v>
                </c:pt>
                <c:pt idx="185" formatCode="0.00_ ">
                  <c:v>137.5</c:v>
                </c:pt>
                <c:pt idx="186" formatCode="0.00_ ">
                  <c:v>150</c:v>
                </c:pt>
                <c:pt idx="187" formatCode="0.00_ ">
                  <c:v>162.5</c:v>
                </c:pt>
                <c:pt idx="188" formatCode="0.00_ ">
                  <c:v>175</c:v>
                </c:pt>
                <c:pt idx="189" formatCode="0.00_ ">
                  <c:v>200</c:v>
                </c:pt>
                <c:pt idx="190" formatCode="0.00_ ">
                  <c:v>225</c:v>
                </c:pt>
                <c:pt idx="191" formatCode="0.00_ ">
                  <c:v>250</c:v>
                </c:pt>
                <c:pt idx="192" formatCode="0.00_ ">
                  <c:v>275</c:v>
                </c:pt>
                <c:pt idx="193" formatCode="0.00_ ">
                  <c:v>300</c:v>
                </c:pt>
                <c:pt idx="194" formatCode="0.00_ ">
                  <c:v>325</c:v>
                </c:pt>
                <c:pt idx="195" formatCode="0.00_ ">
                  <c:v>350</c:v>
                </c:pt>
                <c:pt idx="196" formatCode="0.00_ ">
                  <c:v>375</c:v>
                </c:pt>
                <c:pt idx="197" formatCode="0.00_ ">
                  <c:v>400</c:v>
                </c:pt>
                <c:pt idx="198" formatCode="0.00_ ">
                  <c:v>425</c:v>
                </c:pt>
                <c:pt idx="199" formatCode="0.00_ ">
                  <c:v>450</c:v>
                </c:pt>
                <c:pt idx="200" formatCode="0.00_ ">
                  <c:v>500</c:v>
                </c:pt>
                <c:pt idx="201" formatCode="0.00_ ">
                  <c:v>562.5</c:v>
                </c:pt>
                <c:pt idx="202" formatCode="0.00_ ">
                  <c:v>625</c:v>
                </c:pt>
                <c:pt idx="203" formatCode="0.00_ ">
                  <c:v>687.5</c:v>
                </c:pt>
                <c:pt idx="204" formatCode="0.00_ ">
                  <c:v>750</c:v>
                </c:pt>
                <c:pt idx="205" formatCode="0.00_ ">
                  <c:v>812.5</c:v>
                </c:pt>
                <c:pt idx="206" formatCode="0.00_ ">
                  <c:v>875</c:v>
                </c:pt>
                <c:pt idx="207" formatCode="0.00_ ">
                  <c:v>937.5</c:v>
                </c:pt>
                <c:pt idx="208" formatCode="0.00_ ">
                  <c:v>1000</c:v>
                </c:pt>
              </c:numCache>
            </c:numRef>
          </c:xVal>
          <c:yVal>
            <c:numRef>
              <c:f>'dbg33'!$AF$11:$AF$219</c:f>
              <c:numCache>
                <c:formatCode>0.000_ </c:formatCode>
                <c:ptCount val="20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0.29948907759549559</c:v>
                </c:pt>
                <c:pt idx="116">
                  <c:v>0.31928423350610813</c:v>
                </c:pt>
                <c:pt idx="117">
                  <c:v>0.33919625550931887</c:v>
                </c:pt>
                <c:pt idx="118">
                  <c:v>0.35912927851474685</c:v>
                </c:pt>
                <c:pt idx="119">
                  <c:v>0.37870793832909022</c:v>
                </c:pt>
                <c:pt idx="120">
                  <c:v>0.39808293832909014</c:v>
                </c:pt>
                <c:pt idx="121">
                  <c:v>0.41709478666181737</c:v>
                </c:pt>
                <c:pt idx="122">
                  <c:v>0.45456361640503407</c:v>
                </c:pt>
                <c:pt idx="123">
                  <c:v>0.49970620493198548</c:v>
                </c:pt>
                <c:pt idx="124">
                  <c:v>0.54211739721515029</c:v>
                </c:pt>
                <c:pt idx="125">
                  <c:v>0.58085337665818038</c:v>
                </c:pt>
                <c:pt idx="126">
                  <c:v>0.61526100189506328</c:v>
                </c:pt>
                <c:pt idx="127">
                  <c:v>0.64407625236882904</c:v>
                </c:pt>
                <c:pt idx="128">
                  <c:v>0.66687808792881764</c:v>
                </c:pt>
                <c:pt idx="129">
                  <c:v>0.68317309839653406</c:v>
                </c:pt>
                <c:pt idx="130">
                  <c:v>0.69390184559616919</c:v>
                </c:pt>
                <c:pt idx="131">
                  <c:v>0.70266486093298375</c:v>
                </c:pt>
                <c:pt idx="132">
                  <c:v>0.70069256347185804</c:v>
                </c:pt>
                <c:pt idx="133">
                  <c:v>0.69256837748959121</c:v>
                </c:pt>
                <c:pt idx="134">
                  <c:v>0.68052018471850706</c:v>
                </c:pt>
                <c:pt idx="135">
                  <c:v>0.66795446823376292</c:v>
                </c:pt>
                <c:pt idx="136">
                  <c:v>0.65347853331336569</c:v>
                </c:pt>
                <c:pt idx="137">
                  <c:v>0.62481409206227712</c:v>
                </c:pt>
                <c:pt idx="138">
                  <c:v>0.60035106171043484</c:v>
                </c:pt>
                <c:pt idx="139">
                  <c:v>0.58016118592941979</c:v>
                </c:pt>
                <c:pt idx="140">
                  <c:v>0.56077786399637874</c:v>
                </c:pt>
                <c:pt idx="141">
                  <c:v>0.54370841665034675</c:v>
                </c:pt>
                <c:pt idx="142">
                  <c:v>0.52781515460732953</c:v>
                </c:pt>
                <c:pt idx="143">
                  <c:v>0.51345283747515724</c:v>
                </c:pt>
                <c:pt idx="144">
                  <c:v>0.50040242582939332</c:v>
                </c:pt>
                <c:pt idx="145">
                  <c:v>0.48832851431141355</c:v>
                </c:pt>
                <c:pt idx="146">
                  <c:v>0.47783340435767263</c:v>
                </c:pt>
                <c:pt idx="147">
                  <c:v>0.46773634804526942</c:v>
                </c:pt>
                <c:pt idx="148">
                  <c:v>0.44934738098483162</c:v>
                </c:pt>
                <c:pt idx="149">
                  <c:v>0.43007792212873053</c:v>
                </c:pt>
                <c:pt idx="150">
                  <c:v>0.41117010001141718</c:v>
                </c:pt>
                <c:pt idx="151">
                  <c:v>0.3935916855820718</c:v>
                </c:pt>
                <c:pt idx="152">
                  <c:v>0.37769663674125731</c:v>
                </c:pt>
                <c:pt idx="153">
                  <c:v>0.36258877127160627</c:v>
                </c:pt>
                <c:pt idx="154">
                  <c:v>0.34864304929962131</c:v>
                </c:pt>
                <c:pt idx="155">
                  <c:v>0.33553915336922557</c:v>
                </c:pt>
                <c:pt idx="156">
                  <c:v>0.3232072152037091</c:v>
                </c:pt>
                <c:pt idx="157">
                  <c:v>0.30600194926842939</c:v>
                </c:pt>
                <c:pt idx="158">
                  <c:v>0.28539925081925865</c:v>
                </c:pt>
                <c:pt idx="159">
                  <c:v>0.26703229246152738</c:v>
                </c:pt>
                <c:pt idx="160">
                  <c:v>0.250566342043955</c:v>
                </c:pt>
                <c:pt idx="161">
                  <c:v>0.2359658603589736</c:v>
                </c:pt>
                <c:pt idx="162">
                  <c:v>0.2230154251765164</c:v>
                </c:pt>
                <c:pt idx="163">
                  <c:v>0.20641329595948932</c:v>
                </c:pt>
                <c:pt idx="164">
                  <c:v>0.18821490283225017</c:v>
                </c:pt>
                <c:pt idx="165">
                  <c:v>0.17405117888379351</c:v>
                </c:pt>
                <c:pt idx="166">
                  <c:v>0.16365717750610642</c:v>
                </c:pt>
                <c:pt idx="167">
                  <c:v>0.15712180088436511</c:v>
                </c:pt>
                <c:pt idx="168">
                  <c:v>0.14730168832909385</c:v>
                </c:pt>
                <c:pt idx="169">
                  <c:v>0.13863688313325895</c:v>
                </c:pt>
                <c:pt idx="170">
                  <c:v>0.13093483407030249</c:v>
                </c:pt>
                <c:pt idx="171">
                  <c:v>0.12404352701397414</c:v>
                </c:pt>
                <c:pt idx="172">
                  <c:v>0.12404352701397414</c:v>
                </c:pt>
                <c:pt idx="173">
                  <c:v>0.11222985777454397</c:v>
                </c:pt>
                <c:pt idx="174">
                  <c:v>0.10712850060297541</c:v>
                </c:pt>
                <c:pt idx="175">
                  <c:v>9.9865551409550335E-2</c:v>
                </c:pt>
                <c:pt idx="176">
                  <c:v>9.0647192817904454E-2</c:v>
                </c:pt>
                <c:pt idx="177">
                  <c:v>8.4172393330902651E-2</c:v>
                </c:pt>
                <c:pt idx="178">
                  <c:v>7.8560900442184334E-2</c:v>
                </c:pt>
                <c:pt idx="179">
                  <c:v>7.3650844164546925E-2</c:v>
                </c:pt>
                <c:pt idx="180">
                  <c:v>6.9318441566622369E-2</c:v>
                </c:pt>
                <c:pt idx="181">
                  <c:v>6.6203005990601582E-2</c:v>
                </c:pt>
                <c:pt idx="182">
                  <c:v>6.2681569501734202E-2</c:v>
                </c:pt>
                <c:pt idx="183">
                  <c:v>5.8337302308544281E-2</c:v>
                </c:pt>
                <c:pt idx="184">
                  <c:v>5.4055665441865131E-2</c:v>
                </c:pt>
                <c:pt idx="185">
                  <c:v>5.0145255601393046E-2</c:v>
                </c:pt>
                <c:pt idx="186">
                  <c:v>4.7136540265313442E-2</c:v>
                </c:pt>
                <c:pt idx="187">
                  <c:v>4.4468434212546981E-2</c:v>
                </c:pt>
                <c:pt idx="188">
                  <c:v>4.2086196665451325E-2</c:v>
                </c:pt>
                <c:pt idx="189">
                  <c:v>3.9346026932634004E-2</c:v>
                </c:pt>
                <c:pt idx="190">
                  <c:v>3.6314745967104045E-2</c:v>
                </c:pt>
                <c:pt idx="191">
                  <c:v>3.3862457087138864E-2</c:v>
                </c:pt>
                <c:pt idx="192">
                  <c:v>3.1849013692749395E-2</c:v>
                </c:pt>
                <c:pt idx="193">
                  <c:v>3.0254518783920048E-2</c:v>
                </c:pt>
                <c:pt idx="194">
                  <c:v>2.8882683986068969E-2</c:v>
                </c:pt>
                <c:pt idx="195">
                  <c:v>2.7694794515468857E-2</c:v>
                </c:pt>
                <c:pt idx="196">
                  <c:v>2.6660939064072409E-2</c:v>
                </c:pt>
                <c:pt idx="197">
                  <c:v>2.5814096530837105E-2</c:v>
                </c:pt>
                <c:pt idx="198">
                  <c:v>2.504598313777251E-2</c:v>
                </c:pt>
                <c:pt idx="199">
                  <c:v>2.4372564770089866E-2</c:v>
                </c:pt>
                <c:pt idx="200">
                  <c:v>2.3497776802230419E-2</c:v>
                </c:pt>
                <c:pt idx="201">
                  <c:v>2.2437423964902337E-2</c:v>
                </c:pt>
                <c:pt idx="202">
                  <c:v>2.1503896106423781E-2</c:v>
                </c:pt>
                <c:pt idx="203">
                  <c:v>2.0754024421194117E-2</c:v>
                </c:pt>
                <c:pt idx="204">
                  <c:v>2.0150709757785989E-2</c:v>
                </c:pt>
                <c:pt idx="205">
                  <c:v>1.9666447039980994E-2</c:v>
                </c:pt>
                <c:pt idx="206">
                  <c:v>1.9261417238226386E-2</c:v>
                </c:pt>
                <c:pt idx="207">
                  <c:v>1.8927296926335657E-2</c:v>
                </c:pt>
                <c:pt idx="208">
                  <c:v>1.8645783332772226E-2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995-4BE7-A1D1-58C3354EF0C6}"/>
            </c:ext>
          </c:extLst>
        </c:ser>
        <c:ser>
          <c:idx val="4"/>
          <c:order val="3"/>
          <c:tx>
            <c:v>ws2 dEu2 stop</c:v>
          </c:tx>
          <c:spPr>
            <a:ln w="12700">
              <a:solidFill>
                <a:srgbClr val="0070C0"/>
              </a:solidFill>
            </a:ln>
          </c:spPr>
          <c:marker>
            <c:symbol val="triangle"/>
            <c:size val="3"/>
            <c:spPr>
              <a:solidFill>
                <a:srgbClr val="0070C0"/>
              </a:solidFill>
              <a:ln>
                <a:noFill/>
              </a:ln>
            </c:spPr>
          </c:marker>
          <c:xVal>
            <c:numRef>
              <c:f>'dbg33'!$AB$11:$AB$219</c:f>
              <c:numCache>
                <c:formatCode>0.00000_ </c:formatCode>
                <c:ptCount val="209"/>
                <c:pt idx="0">
                  <c:v>9.9999750000000008E-6</c:v>
                </c:pt>
                <c:pt idx="1">
                  <c:v>1.1249975000000001E-5</c:v>
                </c:pt>
                <c:pt idx="2">
                  <c:v>1.2499975000000001E-5</c:v>
                </c:pt>
                <c:pt idx="3">
                  <c:v>1.3749975E-5</c:v>
                </c:pt>
                <c:pt idx="4">
                  <c:v>1.4999975E-5</c:v>
                </c:pt>
                <c:pt idx="5">
                  <c:v>1.6249975E-5</c:v>
                </c:pt>
                <c:pt idx="6">
                  <c:v>1.7499975E-5</c:v>
                </c:pt>
                <c:pt idx="7">
                  <c:v>1.9999975E-5</c:v>
                </c:pt>
                <c:pt idx="8">
                  <c:v>2.2499975000000003E-5</c:v>
                </c:pt>
                <c:pt idx="9">
                  <c:v>2.4999975000000003E-5</c:v>
                </c:pt>
                <c:pt idx="10">
                  <c:v>2.7500000000000001E-5</c:v>
                </c:pt>
                <c:pt idx="11">
                  <c:v>2.9999999999999997E-5</c:v>
                </c:pt>
                <c:pt idx="12">
                  <c:v>3.2499999999999997E-5</c:v>
                </c:pt>
                <c:pt idx="13">
                  <c:v>3.4999999999999997E-5</c:v>
                </c:pt>
                <c:pt idx="14">
                  <c:v>3.7500000000000003E-5</c:v>
                </c:pt>
                <c:pt idx="15">
                  <c:v>4.0000000000000003E-5</c:v>
                </c:pt>
                <c:pt idx="16">
                  <c:v>4.2499999999999996E-5</c:v>
                </c:pt>
                <c:pt idx="17">
                  <c:v>4.4999999999999996E-5</c:v>
                </c:pt>
                <c:pt idx="18">
                  <c:v>5.0000000000000002E-5</c:v>
                </c:pt>
                <c:pt idx="19">
                  <c:v>5.6249999999999998E-5</c:v>
                </c:pt>
                <c:pt idx="20">
                  <c:v>6.2500000000000001E-5</c:v>
                </c:pt>
                <c:pt idx="21">
                  <c:v>6.8749999999999991E-5</c:v>
                </c:pt>
                <c:pt idx="22">
                  <c:v>7.5000000000000007E-5</c:v>
                </c:pt>
                <c:pt idx="23">
                  <c:v>8.1249999999999996E-5</c:v>
                </c:pt>
                <c:pt idx="24">
                  <c:v>8.7499999999999999E-5</c:v>
                </c:pt>
                <c:pt idx="25">
                  <c:v>9.3750000000000002E-5</c:v>
                </c:pt>
                <c:pt idx="26">
                  <c:v>1E-4</c:v>
                </c:pt>
                <c:pt idx="27">
                  <c:v>1.125E-4</c:v>
                </c:pt>
                <c:pt idx="28">
                  <c:v>1.25E-4</c:v>
                </c:pt>
                <c:pt idx="29">
                  <c:v>1.3749999999999998E-4</c:v>
                </c:pt>
                <c:pt idx="30">
                  <c:v>1.5000000000000001E-4</c:v>
                </c:pt>
                <c:pt idx="31">
                  <c:v>1.6249999999999999E-4</c:v>
                </c:pt>
                <c:pt idx="32">
                  <c:v>1.75E-4</c:v>
                </c:pt>
                <c:pt idx="33">
                  <c:v>2.0000000000000001E-4</c:v>
                </c:pt>
                <c:pt idx="34">
                  <c:v>2.2499999999999999E-4</c:v>
                </c:pt>
                <c:pt idx="35">
                  <c:v>2.5000000000000001E-4</c:v>
                </c:pt>
                <c:pt idx="36">
                  <c:v>2.7499999999999996E-4</c:v>
                </c:pt>
                <c:pt idx="37">
                  <c:v>3.0000000000000003E-4</c:v>
                </c:pt>
                <c:pt idx="38">
                  <c:v>3.2499999999999999E-4</c:v>
                </c:pt>
                <c:pt idx="39">
                  <c:v>3.5E-4</c:v>
                </c:pt>
                <c:pt idx="40">
                  <c:v>3.7500000000000001E-4</c:v>
                </c:pt>
                <c:pt idx="41">
                  <c:v>4.0000000000000002E-4</c:v>
                </c:pt>
                <c:pt idx="42">
                  <c:v>4.2500000000000003E-4</c:v>
                </c:pt>
                <c:pt idx="43">
                  <c:v>4.4999999999999999E-4</c:v>
                </c:pt>
                <c:pt idx="44">
                  <c:v>5.0000000000000001E-4</c:v>
                </c:pt>
                <c:pt idx="45">
                  <c:v>5.6249999999999996E-4</c:v>
                </c:pt>
                <c:pt idx="46">
                  <c:v>6.2500000000000001E-4</c:v>
                </c:pt>
                <c:pt idx="47">
                  <c:v>6.8749999999999996E-4</c:v>
                </c:pt>
                <c:pt idx="48">
                  <c:v>7.5000000000000002E-4</c:v>
                </c:pt>
                <c:pt idx="49">
                  <c:v>8.1250000000000007E-4</c:v>
                </c:pt>
                <c:pt idx="50">
                  <c:v>8.7500000000000013E-4</c:v>
                </c:pt>
                <c:pt idx="51">
                  <c:v>9.3749999999999997E-4</c:v>
                </c:pt>
                <c:pt idx="52">
                  <c:v>1E-3</c:v>
                </c:pt>
                <c:pt idx="53">
                  <c:v>1.1249999999999999E-3</c:v>
                </c:pt>
                <c:pt idx="54">
                  <c:v>1.25E-3</c:v>
                </c:pt>
                <c:pt idx="55">
                  <c:v>1.3749999999999999E-3</c:v>
                </c:pt>
                <c:pt idx="56">
                  <c:v>1.5E-3</c:v>
                </c:pt>
                <c:pt idx="57">
                  <c:v>1.6250000000000001E-3</c:v>
                </c:pt>
                <c:pt idx="58">
                  <c:v>1.7500000000000003E-3</c:v>
                </c:pt>
                <c:pt idx="59">
                  <c:v>2E-3</c:v>
                </c:pt>
                <c:pt idx="60">
                  <c:v>2.2499999999999998E-3</c:v>
                </c:pt>
                <c:pt idx="61">
                  <c:v>2.5000000000000001E-3</c:v>
                </c:pt>
                <c:pt idx="62">
                  <c:v>2.7499999999999998E-3</c:v>
                </c:pt>
                <c:pt idx="63">
                  <c:v>3.0000000000000001E-3</c:v>
                </c:pt>
                <c:pt idx="64">
                  <c:v>3.2500000000000003E-3</c:v>
                </c:pt>
                <c:pt idx="65">
                  <c:v>3.5000000000000005E-3</c:v>
                </c:pt>
                <c:pt idx="66">
                  <c:v>3.7499999999999999E-3</c:v>
                </c:pt>
                <c:pt idx="67">
                  <c:v>4.0000000000000001E-3</c:v>
                </c:pt>
                <c:pt idx="68">
                  <c:v>4.2500000000000003E-3</c:v>
                </c:pt>
                <c:pt idx="69">
                  <c:v>4.4999999999999997E-3</c:v>
                </c:pt>
                <c:pt idx="70">
                  <c:v>5.0000000000000001E-3</c:v>
                </c:pt>
                <c:pt idx="71">
                  <c:v>5.6249999999999998E-3</c:v>
                </c:pt>
                <c:pt idx="72">
                  <c:v>6.2500000000000003E-3</c:v>
                </c:pt>
                <c:pt idx="73">
                  <c:v>6.8750000000000009E-3</c:v>
                </c:pt>
                <c:pt idx="74">
                  <c:v>7.4999999999999997E-3</c:v>
                </c:pt>
                <c:pt idx="75">
                  <c:v>8.1250000000000003E-3</c:v>
                </c:pt>
                <c:pt idx="76">
                  <c:v>8.7499999999999991E-3</c:v>
                </c:pt>
                <c:pt idx="77">
                  <c:v>9.3749999999999997E-3</c:v>
                </c:pt>
                <c:pt idx="78">
                  <c:v>0.01</c:v>
                </c:pt>
                <c:pt idx="79">
                  <c:v>1.125E-2</c:v>
                </c:pt>
                <c:pt idx="80">
                  <c:v>1.2500000000000001E-2</c:v>
                </c:pt>
                <c:pt idx="81">
                  <c:v>1.3750000000000002E-2</c:v>
                </c:pt>
                <c:pt idx="82">
                  <c:v>1.4999999999999999E-2</c:v>
                </c:pt>
                <c:pt idx="83">
                  <c:v>1.6250000000000001E-2</c:v>
                </c:pt>
                <c:pt idx="84">
                  <c:v>1.7499999999999998E-2</c:v>
                </c:pt>
                <c:pt idx="85">
                  <c:v>0.02</c:v>
                </c:pt>
                <c:pt idx="86">
                  <c:v>2.2499999999999999E-2</c:v>
                </c:pt>
                <c:pt idx="87">
                  <c:v>2.5000000000000001E-2</c:v>
                </c:pt>
                <c:pt idx="88">
                  <c:v>2.7500000000000004E-2</c:v>
                </c:pt>
                <c:pt idx="89">
                  <c:v>0.03</c:v>
                </c:pt>
                <c:pt idx="90">
                  <c:v>3.2500000000000001E-2</c:v>
                </c:pt>
                <c:pt idx="91">
                  <c:v>3.4999999999999996E-2</c:v>
                </c:pt>
                <c:pt idx="92">
                  <c:v>3.7499999999999999E-2</c:v>
                </c:pt>
                <c:pt idx="93">
                  <c:v>0.04</c:v>
                </c:pt>
                <c:pt idx="94">
                  <c:v>4.2499999999999996E-2</c:v>
                </c:pt>
                <c:pt idx="95">
                  <c:v>4.4999999999999998E-2</c:v>
                </c:pt>
                <c:pt idx="96">
                  <c:v>0.05</c:v>
                </c:pt>
                <c:pt idx="97">
                  <c:v>5.6250000000000001E-2</c:v>
                </c:pt>
                <c:pt idx="98">
                  <c:v>6.25E-2</c:v>
                </c:pt>
                <c:pt idx="99">
                  <c:v>6.8750000000000006E-2</c:v>
                </c:pt>
                <c:pt idx="100">
                  <c:v>7.4999999999999997E-2</c:v>
                </c:pt>
                <c:pt idx="101">
                  <c:v>8.1250000000000003E-2</c:v>
                </c:pt>
                <c:pt idx="102">
                  <c:v>8.7499999999999994E-2</c:v>
                </c:pt>
                <c:pt idx="103">
                  <c:v>9.375E-2</c:v>
                </c:pt>
                <c:pt idx="104">
                  <c:v>0.1</c:v>
                </c:pt>
                <c:pt idx="105">
                  <c:v>0.1125</c:v>
                </c:pt>
                <c:pt idx="106">
                  <c:v>0.125</c:v>
                </c:pt>
                <c:pt idx="107">
                  <c:v>0.13750000000000001</c:v>
                </c:pt>
                <c:pt idx="108">
                  <c:v>0.15</c:v>
                </c:pt>
                <c:pt idx="109">
                  <c:v>0.16250000000000001</c:v>
                </c:pt>
                <c:pt idx="110">
                  <c:v>0.17499999999999999</c:v>
                </c:pt>
                <c:pt idx="111">
                  <c:v>0.2</c:v>
                </c:pt>
                <c:pt idx="112">
                  <c:v>0.22500000000000001</c:v>
                </c:pt>
                <c:pt idx="113">
                  <c:v>0.25</c:v>
                </c:pt>
                <c:pt idx="114">
                  <c:v>0.27500000000000002</c:v>
                </c:pt>
                <c:pt idx="115">
                  <c:v>0.3</c:v>
                </c:pt>
                <c:pt idx="116">
                  <c:v>0.32500000000000001</c:v>
                </c:pt>
                <c:pt idx="117">
                  <c:v>0.35</c:v>
                </c:pt>
                <c:pt idx="118">
                  <c:v>0.375</c:v>
                </c:pt>
                <c:pt idx="119">
                  <c:v>0.4</c:v>
                </c:pt>
                <c:pt idx="120">
                  <c:v>0.42499999999999999</c:v>
                </c:pt>
                <c:pt idx="121">
                  <c:v>0.45</c:v>
                </c:pt>
                <c:pt idx="122">
                  <c:v>0.5</c:v>
                </c:pt>
                <c:pt idx="123">
                  <c:v>0.5625</c:v>
                </c:pt>
                <c:pt idx="124">
                  <c:v>0.625</c:v>
                </c:pt>
                <c:pt idx="125">
                  <c:v>0.6875</c:v>
                </c:pt>
                <c:pt idx="126">
                  <c:v>0.75</c:v>
                </c:pt>
                <c:pt idx="127">
                  <c:v>0.8125</c:v>
                </c:pt>
                <c:pt idx="128">
                  <c:v>0.875</c:v>
                </c:pt>
                <c:pt idx="129">
                  <c:v>0.9375</c:v>
                </c:pt>
                <c:pt idx="130" formatCode="0.000_ ">
                  <c:v>1</c:v>
                </c:pt>
                <c:pt idx="131" formatCode="0.000_ ">
                  <c:v>1.125</c:v>
                </c:pt>
                <c:pt idx="132" formatCode="0.000_ ">
                  <c:v>1.25</c:v>
                </c:pt>
                <c:pt idx="133" formatCode="0.000_ ">
                  <c:v>1.375</c:v>
                </c:pt>
                <c:pt idx="134" formatCode="0.000_ ">
                  <c:v>1.5</c:v>
                </c:pt>
                <c:pt idx="135" formatCode="0.000_ ">
                  <c:v>1.625</c:v>
                </c:pt>
                <c:pt idx="136" formatCode="0.000_ ">
                  <c:v>1.75</c:v>
                </c:pt>
                <c:pt idx="137" formatCode="0.000_ ">
                  <c:v>2</c:v>
                </c:pt>
                <c:pt idx="138" formatCode="0.000_ ">
                  <c:v>2.25</c:v>
                </c:pt>
                <c:pt idx="139" formatCode="0.000_ ">
                  <c:v>2.5</c:v>
                </c:pt>
                <c:pt idx="140" formatCode="0.000_ ">
                  <c:v>2.75</c:v>
                </c:pt>
                <c:pt idx="141" formatCode="0.000_ ">
                  <c:v>3</c:v>
                </c:pt>
                <c:pt idx="142" formatCode="0.000_ ">
                  <c:v>3.25</c:v>
                </c:pt>
                <c:pt idx="143" formatCode="0.000_ ">
                  <c:v>3.5</c:v>
                </c:pt>
                <c:pt idx="144" formatCode="0.000_ ">
                  <c:v>3.75</c:v>
                </c:pt>
                <c:pt idx="145" formatCode="0.000_ ">
                  <c:v>4</c:v>
                </c:pt>
                <c:pt idx="146" formatCode="0.000_ ">
                  <c:v>4.25</c:v>
                </c:pt>
                <c:pt idx="147" formatCode="0.000_ ">
                  <c:v>4.5</c:v>
                </c:pt>
                <c:pt idx="148" formatCode="0.000_ ">
                  <c:v>5</c:v>
                </c:pt>
                <c:pt idx="149" formatCode="0.000_ ">
                  <c:v>5.625</c:v>
                </c:pt>
                <c:pt idx="150" formatCode="0.000_ ">
                  <c:v>6.25</c:v>
                </c:pt>
                <c:pt idx="151" formatCode="0.000_ ">
                  <c:v>6.875</c:v>
                </c:pt>
                <c:pt idx="152" formatCode="0.000_ ">
                  <c:v>7.5</c:v>
                </c:pt>
                <c:pt idx="153" formatCode="0.000_ ">
                  <c:v>8.125</c:v>
                </c:pt>
                <c:pt idx="154" formatCode="0.000_ ">
                  <c:v>8.75</c:v>
                </c:pt>
                <c:pt idx="155" formatCode="0.000_ ">
                  <c:v>9.375</c:v>
                </c:pt>
                <c:pt idx="156" formatCode="0.000_ ">
                  <c:v>10</c:v>
                </c:pt>
                <c:pt idx="157" formatCode="0.000_ ">
                  <c:v>11.25</c:v>
                </c:pt>
                <c:pt idx="158" formatCode="0.000_ ">
                  <c:v>12.5</c:v>
                </c:pt>
                <c:pt idx="159" formatCode="0.000_ ">
                  <c:v>13.75</c:v>
                </c:pt>
                <c:pt idx="160" formatCode="0.000_ ">
                  <c:v>15</c:v>
                </c:pt>
                <c:pt idx="161" formatCode="0.000_ ">
                  <c:v>16.25</c:v>
                </c:pt>
                <c:pt idx="162" formatCode="0.000_ ">
                  <c:v>17.5</c:v>
                </c:pt>
                <c:pt idx="163" formatCode="0.000_ ">
                  <c:v>20</c:v>
                </c:pt>
                <c:pt idx="164" formatCode="0.000_ ">
                  <c:v>22.5</c:v>
                </c:pt>
                <c:pt idx="165" formatCode="0.000_ ">
                  <c:v>25</c:v>
                </c:pt>
                <c:pt idx="166" formatCode="0.000_ ">
                  <c:v>27.5</c:v>
                </c:pt>
                <c:pt idx="167" formatCode="0.000_ ">
                  <c:v>30</c:v>
                </c:pt>
                <c:pt idx="168" formatCode="0.000_ ">
                  <c:v>32.5</c:v>
                </c:pt>
                <c:pt idx="169" formatCode="0.000_ ">
                  <c:v>35</c:v>
                </c:pt>
                <c:pt idx="170" formatCode="0.000_ ">
                  <c:v>37.5</c:v>
                </c:pt>
                <c:pt idx="171" formatCode="0.000_ ">
                  <c:v>40</c:v>
                </c:pt>
                <c:pt idx="172" formatCode="0.000_ ">
                  <c:v>42.5</c:v>
                </c:pt>
                <c:pt idx="173" formatCode="0.000_ ">
                  <c:v>45</c:v>
                </c:pt>
                <c:pt idx="174" formatCode="0.000_ ">
                  <c:v>50</c:v>
                </c:pt>
                <c:pt idx="175" formatCode="0.000_ ">
                  <c:v>56.25</c:v>
                </c:pt>
                <c:pt idx="176" formatCode="0.000_ ">
                  <c:v>62.5</c:v>
                </c:pt>
                <c:pt idx="177" formatCode="0.000_ ">
                  <c:v>68.75</c:v>
                </c:pt>
                <c:pt idx="178" formatCode="0.000_ ">
                  <c:v>75</c:v>
                </c:pt>
                <c:pt idx="179" formatCode="0.000_ ">
                  <c:v>81.25</c:v>
                </c:pt>
                <c:pt idx="180" formatCode="0.000_ ">
                  <c:v>87.5</c:v>
                </c:pt>
                <c:pt idx="181" formatCode="0.000_ ">
                  <c:v>93.75</c:v>
                </c:pt>
                <c:pt idx="182" formatCode="0.00_ ">
                  <c:v>100</c:v>
                </c:pt>
                <c:pt idx="183" formatCode="0.00_ ">
                  <c:v>112.5</c:v>
                </c:pt>
                <c:pt idx="184" formatCode="0.00_ ">
                  <c:v>125</c:v>
                </c:pt>
                <c:pt idx="185" formatCode="0.00_ ">
                  <c:v>137.5</c:v>
                </c:pt>
                <c:pt idx="186" formatCode="0.00_ ">
                  <c:v>150</c:v>
                </c:pt>
                <c:pt idx="187" formatCode="0.00_ ">
                  <c:v>162.5</c:v>
                </c:pt>
                <c:pt idx="188" formatCode="0.00_ ">
                  <c:v>175</c:v>
                </c:pt>
                <c:pt idx="189" formatCode="0.00_ ">
                  <c:v>200</c:v>
                </c:pt>
                <c:pt idx="190" formatCode="0.00_ ">
                  <c:v>225</c:v>
                </c:pt>
                <c:pt idx="191" formatCode="0.00_ ">
                  <c:v>250</c:v>
                </c:pt>
                <c:pt idx="192" formatCode="0.00_ ">
                  <c:v>275</c:v>
                </c:pt>
                <c:pt idx="193" formatCode="0.00_ ">
                  <c:v>300</c:v>
                </c:pt>
                <c:pt idx="194" formatCode="0.00_ ">
                  <c:v>325</c:v>
                </c:pt>
                <c:pt idx="195" formatCode="0.00_ ">
                  <c:v>350</c:v>
                </c:pt>
                <c:pt idx="196" formatCode="0.00_ ">
                  <c:v>375</c:v>
                </c:pt>
                <c:pt idx="197" formatCode="0.00_ ">
                  <c:v>400</c:v>
                </c:pt>
                <c:pt idx="198" formatCode="0.00_ ">
                  <c:v>425</c:v>
                </c:pt>
                <c:pt idx="199" formatCode="0.00_ ">
                  <c:v>450</c:v>
                </c:pt>
                <c:pt idx="200" formatCode="0.00_ ">
                  <c:v>500</c:v>
                </c:pt>
                <c:pt idx="201" formatCode="0.00_ ">
                  <c:v>562.5</c:v>
                </c:pt>
                <c:pt idx="202" formatCode="0.00_ ">
                  <c:v>625</c:v>
                </c:pt>
                <c:pt idx="203" formatCode="0.00_ ">
                  <c:v>687.5</c:v>
                </c:pt>
                <c:pt idx="204" formatCode="0.00_ ">
                  <c:v>750</c:v>
                </c:pt>
                <c:pt idx="205" formatCode="0.00_ ">
                  <c:v>812.5</c:v>
                </c:pt>
                <c:pt idx="206" formatCode="0.00_ ">
                  <c:v>875</c:v>
                </c:pt>
                <c:pt idx="207" formatCode="0.00_ ">
                  <c:v>937.5</c:v>
                </c:pt>
                <c:pt idx="208" formatCode="0.00_ ">
                  <c:v>1000</c:v>
                </c:pt>
              </c:numCache>
            </c:numRef>
          </c:xVal>
          <c:yVal>
            <c:numRef>
              <c:f>'dbg33'!$AG$11:$AG$219</c:f>
              <c:numCache>
                <c:formatCode>0.000_ </c:formatCode>
                <c:ptCount val="209"/>
                <c:pt idx="0">
                  <c:v>9.9999750000000008E-6</c:v>
                </c:pt>
                <c:pt idx="1">
                  <c:v>1.1249975000000001E-5</c:v>
                </c:pt>
                <c:pt idx="2">
                  <c:v>1.2499975000000001E-5</c:v>
                </c:pt>
                <c:pt idx="3">
                  <c:v>1.3749975E-5</c:v>
                </c:pt>
                <c:pt idx="4">
                  <c:v>1.4999975E-5</c:v>
                </c:pt>
                <c:pt idx="5">
                  <c:v>1.6249975E-5</c:v>
                </c:pt>
                <c:pt idx="6">
                  <c:v>1.7499975E-5</c:v>
                </c:pt>
                <c:pt idx="7">
                  <c:v>1.9999975E-5</c:v>
                </c:pt>
                <c:pt idx="8">
                  <c:v>2.2499975000000003E-5</c:v>
                </c:pt>
                <c:pt idx="9">
                  <c:v>2.4999975000000003E-5</c:v>
                </c:pt>
                <c:pt idx="10">
                  <c:v>2.7500000000000001E-5</c:v>
                </c:pt>
                <c:pt idx="11">
                  <c:v>2.9999999999999997E-5</c:v>
                </c:pt>
                <c:pt idx="12">
                  <c:v>3.2499999999999997E-5</c:v>
                </c:pt>
                <c:pt idx="13">
                  <c:v>3.4999999999999997E-5</c:v>
                </c:pt>
                <c:pt idx="14">
                  <c:v>3.7500000000000003E-5</c:v>
                </c:pt>
                <c:pt idx="15">
                  <c:v>4.0000000000000003E-5</c:v>
                </c:pt>
                <c:pt idx="16">
                  <c:v>4.2499999999999996E-5</c:v>
                </c:pt>
                <c:pt idx="17">
                  <c:v>4.4999999999999996E-5</c:v>
                </c:pt>
                <c:pt idx="18">
                  <c:v>5.0000000000000002E-5</c:v>
                </c:pt>
                <c:pt idx="19">
                  <c:v>5.6249999999999998E-5</c:v>
                </c:pt>
                <c:pt idx="20">
                  <c:v>6.2500000000000001E-5</c:v>
                </c:pt>
                <c:pt idx="21">
                  <c:v>6.8749999999999991E-5</c:v>
                </c:pt>
                <c:pt idx="22">
                  <c:v>7.5000000000000007E-5</c:v>
                </c:pt>
                <c:pt idx="23">
                  <c:v>8.1249999999999996E-5</c:v>
                </c:pt>
                <c:pt idx="24">
                  <c:v>8.7499999999999999E-5</c:v>
                </c:pt>
                <c:pt idx="25">
                  <c:v>9.3750000000000002E-5</c:v>
                </c:pt>
                <c:pt idx="26">
                  <c:v>1E-4</c:v>
                </c:pt>
                <c:pt idx="27">
                  <c:v>1.125E-4</c:v>
                </c:pt>
                <c:pt idx="28">
                  <c:v>1.25E-4</c:v>
                </c:pt>
                <c:pt idx="29">
                  <c:v>1.3749999999999998E-4</c:v>
                </c:pt>
                <c:pt idx="30">
                  <c:v>1.5000000000000001E-4</c:v>
                </c:pt>
                <c:pt idx="31">
                  <c:v>1.6249999999999999E-4</c:v>
                </c:pt>
                <c:pt idx="32">
                  <c:v>1.75E-4</c:v>
                </c:pt>
                <c:pt idx="33">
                  <c:v>2.0000000000000001E-4</c:v>
                </c:pt>
                <c:pt idx="34">
                  <c:v>2.2499999999999999E-4</c:v>
                </c:pt>
                <c:pt idx="35">
                  <c:v>2.5000000000000001E-4</c:v>
                </c:pt>
                <c:pt idx="36">
                  <c:v>2.7499999999999996E-4</c:v>
                </c:pt>
                <c:pt idx="37">
                  <c:v>3.0000000000000003E-4</c:v>
                </c:pt>
                <c:pt idx="38">
                  <c:v>3.2499999999999999E-4</c:v>
                </c:pt>
                <c:pt idx="39">
                  <c:v>3.5E-4</c:v>
                </c:pt>
                <c:pt idx="40">
                  <c:v>3.7500000000000001E-4</c:v>
                </c:pt>
                <c:pt idx="41">
                  <c:v>4.0000000000000002E-4</c:v>
                </c:pt>
                <c:pt idx="42">
                  <c:v>4.2500000000000003E-4</c:v>
                </c:pt>
                <c:pt idx="43">
                  <c:v>4.4999999999999999E-4</c:v>
                </c:pt>
                <c:pt idx="44">
                  <c:v>5.0000000000000001E-4</c:v>
                </c:pt>
                <c:pt idx="45">
                  <c:v>5.6249999999999996E-4</c:v>
                </c:pt>
                <c:pt idx="46">
                  <c:v>6.2500000000000001E-4</c:v>
                </c:pt>
                <c:pt idx="47">
                  <c:v>6.8749999999999996E-4</c:v>
                </c:pt>
                <c:pt idx="48">
                  <c:v>7.5000000000000002E-4</c:v>
                </c:pt>
                <c:pt idx="49">
                  <c:v>8.1250000000000007E-4</c:v>
                </c:pt>
                <c:pt idx="50">
                  <c:v>8.7500000000000013E-4</c:v>
                </c:pt>
                <c:pt idx="51">
                  <c:v>9.3749999999999997E-4</c:v>
                </c:pt>
                <c:pt idx="52">
                  <c:v>1E-3</c:v>
                </c:pt>
                <c:pt idx="53">
                  <c:v>1.1249999999999999E-3</c:v>
                </c:pt>
                <c:pt idx="54">
                  <c:v>1.25E-3</c:v>
                </c:pt>
                <c:pt idx="55">
                  <c:v>1.3749999999999999E-3</c:v>
                </c:pt>
                <c:pt idx="56">
                  <c:v>1.5E-3</c:v>
                </c:pt>
                <c:pt idx="57">
                  <c:v>1.6250000000000001E-3</c:v>
                </c:pt>
                <c:pt idx="58">
                  <c:v>1.7500000000000003E-3</c:v>
                </c:pt>
                <c:pt idx="59">
                  <c:v>2E-3</c:v>
                </c:pt>
                <c:pt idx="60">
                  <c:v>2.2499999999999998E-3</c:v>
                </c:pt>
                <c:pt idx="61">
                  <c:v>2.5000000000000001E-3</c:v>
                </c:pt>
                <c:pt idx="62">
                  <c:v>2.7499999999999998E-3</c:v>
                </c:pt>
                <c:pt idx="63">
                  <c:v>3.0000000000000001E-3</c:v>
                </c:pt>
                <c:pt idx="64">
                  <c:v>3.2500000000000003E-3</c:v>
                </c:pt>
                <c:pt idx="65">
                  <c:v>3.5000000000000005E-3</c:v>
                </c:pt>
                <c:pt idx="66">
                  <c:v>3.7499999999999999E-3</c:v>
                </c:pt>
                <c:pt idx="67">
                  <c:v>4.0000000000000001E-3</c:v>
                </c:pt>
                <c:pt idx="68">
                  <c:v>4.2500000000000003E-3</c:v>
                </c:pt>
                <c:pt idx="69">
                  <c:v>4.4999999999999997E-3</c:v>
                </c:pt>
                <c:pt idx="70">
                  <c:v>5.0000000000000001E-3</c:v>
                </c:pt>
                <c:pt idx="71">
                  <c:v>5.6249999999999998E-3</c:v>
                </c:pt>
                <c:pt idx="72">
                  <c:v>6.2500000000000003E-3</c:v>
                </c:pt>
                <c:pt idx="73">
                  <c:v>6.8750000000000009E-3</c:v>
                </c:pt>
                <c:pt idx="74">
                  <c:v>7.4999999999999997E-3</c:v>
                </c:pt>
                <c:pt idx="75">
                  <c:v>8.1250000000000003E-3</c:v>
                </c:pt>
                <c:pt idx="76">
                  <c:v>8.7499999999999991E-3</c:v>
                </c:pt>
                <c:pt idx="77">
                  <c:v>9.3749999999999997E-3</c:v>
                </c:pt>
                <c:pt idx="78">
                  <c:v>0.01</c:v>
                </c:pt>
                <c:pt idx="79">
                  <c:v>1.125E-2</c:v>
                </c:pt>
                <c:pt idx="80">
                  <c:v>1.2500000000000001E-2</c:v>
                </c:pt>
                <c:pt idx="81">
                  <c:v>1.3750000000000002E-2</c:v>
                </c:pt>
                <c:pt idx="82">
                  <c:v>1.4999999999999999E-2</c:v>
                </c:pt>
                <c:pt idx="83">
                  <c:v>1.6250000000000001E-2</c:v>
                </c:pt>
                <c:pt idx="84">
                  <c:v>1.7499999999999998E-2</c:v>
                </c:pt>
                <c:pt idx="85">
                  <c:v>0.02</c:v>
                </c:pt>
                <c:pt idx="86">
                  <c:v>2.2499999999999999E-2</c:v>
                </c:pt>
                <c:pt idx="87">
                  <c:v>2.5000000000000001E-2</c:v>
                </c:pt>
                <c:pt idx="88">
                  <c:v>2.7500000000000004E-2</c:v>
                </c:pt>
                <c:pt idx="89">
                  <c:v>0.03</c:v>
                </c:pt>
                <c:pt idx="90">
                  <c:v>3.2500000000000001E-2</c:v>
                </c:pt>
                <c:pt idx="91">
                  <c:v>3.4999999999999996E-2</c:v>
                </c:pt>
                <c:pt idx="92">
                  <c:v>3.7499999999999999E-2</c:v>
                </c:pt>
                <c:pt idx="93">
                  <c:v>0.04</c:v>
                </c:pt>
                <c:pt idx="94">
                  <c:v>4.2499999999999996E-2</c:v>
                </c:pt>
                <c:pt idx="95">
                  <c:v>4.4999999999999998E-2</c:v>
                </c:pt>
                <c:pt idx="96">
                  <c:v>0.05</c:v>
                </c:pt>
                <c:pt idx="97">
                  <c:v>5.6250000000000001E-2</c:v>
                </c:pt>
                <c:pt idx="98">
                  <c:v>6.25E-2</c:v>
                </c:pt>
                <c:pt idx="99">
                  <c:v>6.8750000000000006E-2</c:v>
                </c:pt>
                <c:pt idx="100">
                  <c:v>7.4999999999999997E-2</c:v>
                </c:pt>
                <c:pt idx="101">
                  <c:v>8.1250000000000003E-2</c:v>
                </c:pt>
                <c:pt idx="102">
                  <c:v>8.7499999999999994E-2</c:v>
                </c:pt>
                <c:pt idx="103">
                  <c:v>9.375E-2</c:v>
                </c:pt>
                <c:pt idx="104">
                  <c:v>0.1</c:v>
                </c:pt>
                <c:pt idx="105">
                  <c:v>0.1125</c:v>
                </c:pt>
                <c:pt idx="106">
                  <c:v>0.125</c:v>
                </c:pt>
                <c:pt idx="107">
                  <c:v>0.13750000000000001</c:v>
                </c:pt>
                <c:pt idx="108">
                  <c:v>0.15</c:v>
                </c:pt>
                <c:pt idx="109">
                  <c:v>0.16250000000000001</c:v>
                </c:pt>
                <c:pt idx="110">
                  <c:v>0.17499999999999999</c:v>
                </c:pt>
                <c:pt idx="111">
                  <c:v>0.2</c:v>
                </c:pt>
                <c:pt idx="112">
                  <c:v>0.22500000000000001</c:v>
                </c:pt>
                <c:pt idx="113">
                  <c:v>0.25</c:v>
                </c:pt>
                <c:pt idx="114">
                  <c:v>0.27500000000000002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995-4BE7-A1D1-58C3354EF0C6}"/>
            </c:ext>
          </c:extLst>
        </c:ser>
        <c:ser>
          <c:idx val="5"/>
          <c:order val="4"/>
          <c:tx>
            <c:v>Eu10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'dbg33'!$U$4</c:f>
              <c:numCache>
                <c:formatCode>0.00</c:formatCode>
                <c:ptCount val="1"/>
                <c:pt idx="0">
                  <c:v>100</c:v>
                </c:pt>
              </c:numCache>
            </c:numRef>
          </c:xVal>
          <c:yVal>
            <c:numRef>
              <c:f>'dbg33'!$V$4</c:f>
              <c:numCache>
                <c:formatCode>0.000_ ;[Red]\-0.000\ </c:formatCode>
                <c:ptCount val="1"/>
                <c:pt idx="0">
                  <c:v>0.20758604305170536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995-4BE7-A1D1-58C3354EF0C6}"/>
            </c:ext>
          </c:extLst>
        </c:ser>
        <c:ser>
          <c:idx val="0"/>
          <c:order val="5"/>
          <c:tx>
            <c:v>dEu Goal</c:v>
          </c:tx>
          <c:spPr>
            <a:ln w="15875">
              <a:solidFill>
                <a:srgbClr val="FF0000"/>
              </a:solidFill>
            </a:ln>
          </c:spPr>
          <c:marker>
            <c:symbol val="circle"/>
            <c:size val="3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'dbg33'!$AE$4:$AE$5</c:f>
              <c:numCache>
                <c:formatCode>General</c:formatCode>
                <c:ptCount val="2"/>
                <c:pt idx="0">
                  <c:v>9.9999750000000008E-6</c:v>
                </c:pt>
                <c:pt idx="1">
                  <c:v>1000</c:v>
                </c:pt>
              </c:numCache>
            </c:numRef>
          </c:xVal>
          <c:yVal>
            <c:numRef>
              <c:f>'dbg33'!$AF$4:$AF$5</c:f>
              <c:numCache>
                <c:formatCode>0.000_ ;[Red]\-0.000\ </c:formatCode>
                <c:ptCount val="2"/>
                <c:pt idx="0">
                  <c:v>0.20758604305170536</c:v>
                </c:pt>
                <c:pt idx="1">
                  <c:v>0.20758604305170536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995-4BE7-A1D1-58C3354EF0C6}"/>
            </c:ext>
          </c:extLst>
        </c:ser>
        <c:ser>
          <c:idx val="6"/>
          <c:order val="6"/>
          <c:tx>
            <c:v>E20 stop</c:v>
          </c:tx>
          <c:spPr>
            <a:ln>
              <a:noFill/>
            </a:ln>
          </c:spPr>
          <c:marker>
            <c:symbol val="triangle"/>
            <c:size val="9"/>
            <c:spPr>
              <a:solidFill>
                <a:srgbClr val="0000FF"/>
              </a:solidFill>
              <a:ln>
                <a:noFill/>
              </a:ln>
            </c:spPr>
          </c:marker>
          <c:xVal>
            <c:numRef>
              <c:f>'dbg33'!$E$19</c:f>
              <c:numCache>
                <c:formatCode>0.000_ </c:formatCode>
                <c:ptCount val="1"/>
                <c:pt idx="0">
                  <c:v>9.3402777777777782E-5</c:v>
                </c:pt>
              </c:numCache>
            </c:numRef>
          </c:xVal>
          <c:yVal>
            <c:numRef>
              <c:f>'dbg33'!$M$19</c:f>
              <c:numCache>
                <c:formatCode>0.000_ </c:formatCode>
                <c:ptCount val="1"/>
                <c:pt idx="0">
                  <c:v>9.3402777777777782E-5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995-4BE7-A1D1-58C3354EF0C6}"/>
            </c:ext>
          </c:extLst>
        </c:ser>
        <c:ser>
          <c:idx val="7"/>
          <c:order val="7"/>
          <c:tx>
            <c:v>dEu Found Eh</c:v>
          </c:tx>
          <c:spPr>
            <a:ln>
              <a:noFill/>
            </a:ln>
          </c:spPr>
          <c:marker>
            <c:symbol val="x"/>
            <c:size val="10"/>
            <c:spPr>
              <a:noFill/>
              <a:ln>
                <a:solidFill>
                  <a:srgbClr val="FF00FF"/>
                </a:solidFill>
              </a:ln>
            </c:spPr>
          </c:marker>
          <c:xVal>
            <c:numRef>
              <c:f>'dbg33'!$E$22</c:f>
              <c:numCache>
                <c:formatCode>0.000</c:formatCode>
                <c:ptCount val="1"/>
                <c:pt idx="0">
                  <c:v>19.823404113278844</c:v>
                </c:pt>
              </c:numCache>
            </c:numRef>
          </c:xVal>
          <c:yVal>
            <c:numRef>
              <c:f>'dbg33'!$M$22</c:f>
              <c:numCache>
                <c:formatCode>0.000_ </c:formatCode>
                <c:ptCount val="1"/>
                <c:pt idx="0">
                  <c:v>0.20641329595948577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995-4BE7-A1D1-58C3354EF0C6}"/>
            </c:ext>
          </c:extLst>
        </c:ser>
        <c:ser>
          <c:idx val="8"/>
          <c:order val="8"/>
          <c:tx>
            <c:v>dEu Found El</c:v>
          </c:tx>
          <c:spPr>
            <a:ln>
              <a:noFill/>
            </a:ln>
          </c:spPr>
          <c:marker>
            <c:symbol val="x"/>
            <c:size val="10"/>
            <c:spPr>
              <a:noFill/>
              <a:ln>
                <a:solidFill>
                  <a:srgbClr val="006600"/>
                </a:solidFill>
              </a:ln>
            </c:spPr>
          </c:marker>
          <c:xVal>
            <c:numRef>
              <c:f>'dbg33'!$E$24</c:f>
              <c:numCache>
                <c:formatCode>0.000</c:formatCode>
                <c:ptCount val="1"/>
                <c:pt idx="0">
                  <c:v>0.20758604305170536</c:v>
                </c:pt>
              </c:numCache>
            </c:numRef>
          </c:xVal>
          <c:yVal>
            <c:numRef>
              <c:f>'dbg33'!$M$24</c:f>
              <c:numCache>
                <c:formatCode>0.000_ </c:formatCode>
                <c:ptCount val="1"/>
                <c:pt idx="0">
                  <c:v>0.20758604305170536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995-4BE7-A1D1-58C3354EF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678520"/>
        <c:axId val="464678912"/>
      </c:scatterChart>
      <c:valAx>
        <c:axId val="464678520"/>
        <c:scaling>
          <c:logBase val="10"/>
          <c:orientation val="minMax"/>
          <c:min val="1.0000000000000002E-3"/>
        </c:scaling>
        <c:delete val="0"/>
        <c:axPos val="b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</c:majorGridlines>
        <c:minorGridlines>
          <c:spPr>
            <a:ln>
              <a:solidFill>
                <a:srgbClr val="CCECFF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800"/>
                </a:pPr>
                <a:r>
                  <a:rPr lang="en-US" sz="800"/>
                  <a:t>Eu10/20 [MeV/u]</a:t>
                </a:r>
                <a:endParaRPr lang="ja-JP" sz="800"/>
              </a:p>
            </c:rich>
          </c:tx>
          <c:layout>
            <c:manualLayout>
              <c:xMode val="edge"/>
              <c:yMode val="edge"/>
              <c:x val="0.73217916666666671"/>
              <c:y val="0.83282245370370367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cross"/>
        <c:minorTickMark val="in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4678912"/>
        <c:crosses val="autoZero"/>
        <c:crossBetween val="midCat"/>
      </c:valAx>
      <c:valAx>
        <c:axId val="464678912"/>
        <c:scaling>
          <c:logBase val="10"/>
          <c:orientation val="minMax"/>
          <c:min val="1.0000000000000002E-3"/>
        </c:scaling>
        <c:delete val="0"/>
        <c:axPos val="l"/>
        <c:majorGridlines>
          <c:spPr>
            <a:ln w="12700">
              <a:solidFill>
                <a:schemeClr val="tx2"/>
              </a:solidFill>
              <a:prstDash val="sysDash"/>
            </a:ln>
          </c:spPr>
        </c:majorGridlines>
        <c:min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800"/>
                </a:pPr>
                <a:r>
                  <a:rPr lang="en-US" sz="800"/>
                  <a:t>dEu1/2</a:t>
                </a:r>
                <a:r>
                  <a:rPr lang="en-US" sz="800" baseline="0"/>
                  <a:t> [MeV/u]</a:t>
                </a:r>
                <a:endParaRPr lang="ja-JP" sz="800"/>
              </a:p>
            </c:rich>
          </c:tx>
          <c:layout>
            <c:manualLayout>
              <c:xMode val="edge"/>
              <c:yMode val="edge"/>
              <c:x val="3.9508333333333331E-3"/>
              <c:y val="0.63025555555555568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cross"/>
        <c:minorTickMark val="out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464678520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3.1611111111111108E-4"/>
          <c:y val="0.84514398148148151"/>
          <c:w val="0.68218388888888892"/>
          <c:h val="0.1530921296296296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3175">
      <a:noFill/>
    </a:ln>
  </c:spPr>
  <c:txPr>
    <a:bodyPr/>
    <a:lstStyle/>
    <a:p>
      <a:pPr>
        <a:defRPr b="0" baseline="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n-US" sz="1000" b="1"/>
              <a:t>Eu</a:t>
            </a:r>
            <a:r>
              <a:rPr lang="en-US" sz="1000" b="1" baseline="0"/>
              <a:t> </a:t>
            </a:r>
            <a:r>
              <a:rPr lang="en-US" sz="1000" b="1"/>
              <a:t>dEt Table search</a:t>
            </a:r>
          </a:p>
        </c:rich>
      </c:tx>
      <c:layout>
        <c:manualLayout>
          <c:xMode val="edge"/>
          <c:yMode val="edge"/>
          <c:x val="1.3598055555555561E-2"/>
          <c:y val="5.4398148148148149E-3"/>
        </c:manualLayout>
      </c:layout>
      <c:overlay val="1"/>
      <c:spPr>
        <a:solidFill>
          <a:schemeClr val="bg1"/>
        </a:solidFill>
        <a:ln>
          <a:solidFill>
            <a:srgbClr val="00B05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1338527777777777"/>
          <c:y val="7.9375000000000001E-2"/>
          <c:w val="0.83222805555555557"/>
          <c:h val="0.73564814814814816"/>
        </c:manualLayout>
      </c:layout>
      <c:scatterChart>
        <c:scatterStyle val="lineMarker"/>
        <c:varyColors val="0"/>
        <c:ser>
          <c:idx val="2"/>
          <c:order val="0"/>
          <c:tx>
            <c:v>ws1 dEt1</c:v>
          </c:tx>
          <c:spPr>
            <a:ln w="12700">
              <a:solidFill>
                <a:srgbClr val="6600FF"/>
              </a:solidFill>
            </a:ln>
          </c:spPr>
          <c:marker>
            <c:symbol val="circle"/>
            <c:size val="3"/>
            <c:spPr>
              <a:noFill/>
              <a:ln>
                <a:solidFill>
                  <a:srgbClr val="6600FF"/>
                </a:solidFill>
              </a:ln>
            </c:spPr>
          </c:marker>
          <c:xVal>
            <c:numRef>
              <c:f>'dbg33'!$R$11:$R$219</c:f>
              <c:numCache>
                <c:formatCode>0.00000_ </c:formatCode>
                <c:ptCount val="209"/>
                <c:pt idx="0">
                  <c:v>1.0606060606060606E-5</c:v>
                </c:pt>
                <c:pt idx="1">
                  <c:v>1.1363636363636365E-5</c:v>
                </c:pt>
                <c:pt idx="2">
                  <c:v>1.2121212121212122E-5</c:v>
                </c:pt>
                <c:pt idx="3">
                  <c:v>1.2878787878787878E-5</c:v>
                </c:pt>
                <c:pt idx="4">
                  <c:v>1.3636363636363637E-5</c:v>
                </c:pt>
                <c:pt idx="5">
                  <c:v>1.5151515151515151E-5</c:v>
                </c:pt>
                <c:pt idx="6">
                  <c:v>1.7045454545454543E-5</c:v>
                </c:pt>
                <c:pt idx="7">
                  <c:v>1.8939393939393939E-5</c:v>
                </c:pt>
                <c:pt idx="8">
                  <c:v>2.0833333333333333E-5</c:v>
                </c:pt>
                <c:pt idx="9">
                  <c:v>2.2727272727272729E-5</c:v>
                </c:pt>
                <c:pt idx="10">
                  <c:v>2.4621212121212119E-5</c:v>
                </c:pt>
                <c:pt idx="11">
                  <c:v>2.6515151515151516E-5</c:v>
                </c:pt>
                <c:pt idx="12">
                  <c:v>2.8409090909090909E-5</c:v>
                </c:pt>
                <c:pt idx="13">
                  <c:v>3.0303030303030302E-5</c:v>
                </c:pt>
                <c:pt idx="14">
                  <c:v>3.4090909090909085E-5</c:v>
                </c:pt>
                <c:pt idx="15">
                  <c:v>3.7878787878787879E-5</c:v>
                </c:pt>
                <c:pt idx="16">
                  <c:v>4.1666666666666665E-5</c:v>
                </c:pt>
                <c:pt idx="17">
                  <c:v>4.5454545454545459E-5</c:v>
                </c:pt>
                <c:pt idx="18">
                  <c:v>4.9242424242424238E-5</c:v>
                </c:pt>
                <c:pt idx="19">
                  <c:v>5.3030303030303032E-5</c:v>
                </c:pt>
                <c:pt idx="20">
                  <c:v>6.0606060606060605E-5</c:v>
                </c:pt>
                <c:pt idx="21">
                  <c:v>6.8181818181818171E-5</c:v>
                </c:pt>
                <c:pt idx="22">
                  <c:v>7.5757575757575758E-5</c:v>
                </c:pt>
                <c:pt idx="23">
                  <c:v>8.3333333333333331E-5</c:v>
                </c:pt>
                <c:pt idx="24">
                  <c:v>9.0909090909090917E-5</c:v>
                </c:pt>
                <c:pt idx="25">
                  <c:v>9.8484848484848477E-5</c:v>
                </c:pt>
                <c:pt idx="26">
                  <c:v>1.0606060606060606E-4</c:v>
                </c:pt>
                <c:pt idx="27">
                  <c:v>1.1363636363636364E-4</c:v>
                </c:pt>
                <c:pt idx="28">
                  <c:v>1.2121212121212121E-4</c:v>
                </c:pt>
                <c:pt idx="29">
                  <c:v>1.2878787878787881E-4</c:v>
                </c:pt>
                <c:pt idx="30">
                  <c:v>1.3636363636363634E-4</c:v>
                </c:pt>
                <c:pt idx="31">
                  <c:v>1.5151515151515152E-4</c:v>
                </c:pt>
                <c:pt idx="32">
                  <c:v>1.7045454545454544E-4</c:v>
                </c:pt>
                <c:pt idx="33">
                  <c:v>1.8939393939393939E-4</c:v>
                </c:pt>
                <c:pt idx="34">
                  <c:v>2.0833333333333335E-4</c:v>
                </c:pt>
                <c:pt idx="35">
                  <c:v>2.2727272727272727E-4</c:v>
                </c:pt>
                <c:pt idx="36">
                  <c:v>2.4621212121212123E-4</c:v>
                </c:pt>
                <c:pt idx="37">
                  <c:v>2.6515151515151518E-4</c:v>
                </c:pt>
                <c:pt idx="38">
                  <c:v>2.8409090909090908E-4</c:v>
                </c:pt>
                <c:pt idx="39">
                  <c:v>3.0303030303030303E-4</c:v>
                </c:pt>
                <c:pt idx="40">
                  <c:v>3.4090909090909088E-4</c:v>
                </c:pt>
                <c:pt idx="41">
                  <c:v>3.7878787878787879E-4</c:v>
                </c:pt>
                <c:pt idx="42">
                  <c:v>4.1666666666666669E-4</c:v>
                </c:pt>
                <c:pt idx="43">
                  <c:v>4.5454545454545455E-4</c:v>
                </c:pt>
                <c:pt idx="44">
                  <c:v>4.9242424242424245E-4</c:v>
                </c:pt>
                <c:pt idx="45">
                  <c:v>5.3030303030303036E-4</c:v>
                </c:pt>
                <c:pt idx="46">
                  <c:v>6.0606060606060606E-4</c:v>
                </c:pt>
                <c:pt idx="47">
                  <c:v>6.8181818181818176E-4</c:v>
                </c:pt>
                <c:pt idx="48">
                  <c:v>7.5757575757575758E-4</c:v>
                </c:pt>
                <c:pt idx="49">
                  <c:v>8.3333333333333339E-4</c:v>
                </c:pt>
                <c:pt idx="50">
                  <c:v>9.0909090909090909E-4</c:v>
                </c:pt>
                <c:pt idx="51">
                  <c:v>9.848484848484849E-4</c:v>
                </c:pt>
                <c:pt idx="52">
                  <c:v>1.0606060606060607E-3</c:v>
                </c:pt>
                <c:pt idx="53">
                  <c:v>1.1363636363636363E-3</c:v>
                </c:pt>
                <c:pt idx="54">
                  <c:v>1.2121212121212121E-3</c:v>
                </c:pt>
                <c:pt idx="55">
                  <c:v>1.2878787878787879E-3</c:v>
                </c:pt>
                <c:pt idx="56">
                  <c:v>1.3636363636363635E-3</c:v>
                </c:pt>
                <c:pt idx="57">
                  <c:v>1.5151515151515152E-3</c:v>
                </c:pt>
                <c:pt idx="58">
                  <c:v>1.7045454545454547E-3</c:v>
                </c:pt>
                <c:pt idx="59">
                  <c:v>1.893939393939394E-3</c:v>
                </c:pt>
                <c:pt idx="60">
                  <c:v>2.0833333333333333E-3</c:v>
                </c:pt>
                <c:pt idx="61">
                  <c:v>2.2727272727272726E-3</c:v>
                </c:pt>
                <c:pt idx="62">
                  <c:v>2.4621212121212124E-3</c:v>
                </c:pt>
                <c:pt idx="63">
                  <c:v>2.6515151515151512E-3</c:v>
                </c:pt>
                <c:pt idx="64">
                  <c:v>2.840909090909091E-3</c:v>
                </c:pt>
                <c:pt idx="65">
                  <c:v>3.0303030303030303E-3</c:v>
                </c:pt>
                <c:pt idx="66">
                  <c:v>3.4090909090909094E-3</c:v>
                </c:pt>
                <c:pt idx="67">
                  <c:v>3.787878787878788E-3</c:v>
                </c:pt>
                <c:pt idx="68">
                  <c:v>4.1666666666666666E-3</c:v>
                </c:pt>
                <c:pt idx="69">
                  <c:v>4.5454545454545452E-3</c:v>
                </c:pt>
                <c:pt idx="70">
                  <c:v>4.9242424242424247E-3</c:v>
                </c:pt>
                <c:pt idx="71">
                  <c:v>5.3030303030303025E-3</c:v>
                </c:pt>
                <c:pt idx="72">
                  <c:v>6.0606060606060606E-3</c:v>
                </c:pt>
                <c:pt idx="73">
                  <c:v>6.8181818181818187E-3</c:v>
                </c:pt>
                <c:pt idx="74">
                  <c:v>7.575757575757576E-3</c:v>
                </c:pt>
                <c:pt idx="75">
                  <c:v>8.3333333333333332E-3</c:v>
                </c:pt>
                <c:pt idx="76">
                  <c:v>9.0909090909090905E-3</c:v>
                </c:pt>
                <c:pt idx="77">
                  <c:v>9.8484848484848495E-3</c:v>
                </c:pt>
                <c:pt idx="78">
                  <c:v>1.0606060606060605E-2</c:v>
                </c:pt>
                <c:pt idx="79">
                  <c:v>1.1363636363636364E-2</c:v>
                </c:pt>
                <c:pt idx="80">
                  <c:v>1.2121212121212121E-2</c:v>
                </c:pt>
                <c:pt idx="81">
                  <c:v>1.2878787878787878E-2</c:v>
                </c:pt>
                <c:pt idx="82">
                  <c:v>1.3636363636363637E-2</c:v>
                </c:pt>
                <c:pt idx="83">
                  <c:v>1.5151515151515152E-2</c:v>
                </c:pt>
                <c:pt idx="84">
                  <c:v>1.7045454545454544E-2</c:v>
                </c:pt>
                <c:pt idx="85">
                  <c:v>1.893939393939394E-2</c:v>
                </c:pt>
                <c:pt idx="86">
                  <c:v>2.0833333333333332E-2</c:v>
                </c:pt>
                <c:pt idx="87">
                  <c:v>2.2727272727272728E-2</c:v>
                </c:pt>
                <c:pt idx="88">
                  <c:v>2.462121212121212E-2</c:v>
                </c:pt>
                <c:pt idx="89">
                  <c:v>2.6515151515151516E-2</c:v>
                </c:pt>
                <c:pt idx="90">
                  <c:v>2.8409090909090908E-2</c:v>
                </c:pt>
                <c:pt idx="91">
                  <c:v>3.0303030303030304E-2</c:v>
                </c:pt>
                <c:pt idx="92">
                  <c:v>3.4090909090909088E-2</c:v>
                </c:pt>
                <c:pt idx="93">
                  <c:v>3.787878787878788E-2</c:v>
                </c:pt>
                <c:pt idx="94">
                  <c:v>4.1666666666666664E-2</c:v>
                </c:pt>
                <c:pt idx="95">
                  <c:v>4.5454545454545456E-2</c:v>
                </c:pt>
                <c:pt idx="96">
                  <c:v>4.924242424242424E-2</c:v>
                </c:pt>
                <c:pt idx="97">
                  <c:v>5.3030303030303032E-2</c:v>
                </c:pt>
                <c:pt idx="98">
                  <c:v>6.0606060606060608E-2</c:v>
                </c:pt>
                <c:pt idx="99">
                  <c:v>6.8181818181818177E-2</c:v>
                </c:pt>
                <c:pt idx="100">
                  <c:v>7.575757575757576E-2</c:v>
                </c:pt>
                <c:pt idx="101">
                  <c:v>8.3333333333333329E-2</c:v>
                </c:pt>
                <c:pt idx="102">
                  <c:v>9.0909090909090912E-2</c:v>
                </c:pt>
                <c:pt idx="103">
                  <c:v>9.8484848484848481E-2</c:v>
                </c:pt>
                <c:pt idx="104">
                  <c:v>0.10606060606060606</c:v>
                </c:pt>
                <c:pt idx="105">
                  <c:v>0.11363636363636363</c:v>
                </c:pt>
                <c:pt idx="106">
                  <c:v>0.12121212121212122</c:v>
                </c:pt>
                <c:pt idx="107">
                  <c:v>0.12878787878787878</c:v>
                </c:pt>
                <c:pt idx="108">
                  <c:v>0.13636363636363635</c:v>
                </c:pt>
                <c:pt idx="109">
                  <c:v>0.15151515151515152</c:v>
                </c:pt>
                <c:pt idx="110">
                  <c:v>0.17045454545454544</c:v>
                </c:pt>
                <c:pt idx="111">
                  <c:v>0.18939393939393939</c:v>
                </c:pt>
                <c:pt idx="112">
                  <c:v>0.20833333333333334</c:v>
                </c:pt>
                <c:pt idx="113">
                  <c:v>0.22727272727272727</c:v>
                </c:pt>
                <c:pt idx="114">
                  <c:v>0.24621212121212122</c:v>
                </c:pt>
                <c:pt idx="115">
                  <c:v>0.26515151515151514</c:v>
                </c:pt>
                <c:pt idx="116">
                  <c:v>0.28409090909090912</c:v>
                </c:pt>
                <c:pt idx="117">
                  <c:v>0.30303030303030304</c:v>
                </c:pt>
                <c:pt idx="118">
                  <c:v>0.34090909090909088</c:v>
                </c:pt>
                <c:pt idx="119">
                  <c:v>0.37878787878787878</c:v>
                </c:pt>
                <c:pt idx="120">
                  <c:v>0.41666666666666669</c:v>
                </c:pt>
                <c:pt idx="121">
                  <c:v>0.45454545454545453</c:v>
                </c:pt>
                <c:pt idx="122">
                  <c:v>0.49242424242424243</c:v>
                </c:pt>
                <c:pt idx="123">
                  <c:v>0.53030303030303028</c:v>
                </c:pt>
                <c:pt idx="124">
                  <c:v>0.60606060606060608</c:v>
                </c:pt>
                <c:pt idx="125">
                  <c:v>0.68181818181818177</c:v>
                </c:pt>
                <c:pt idx="126">
                  <c:v>0.75757575757575757</c:v>
                </c:pt>
                <c:pt idx="127">
                  <c:v>0.83333333333333337</c:v>
                </c:pt>
                <c:pt idx="128">
                  <c:v>0.90909090909090906</c:v>
                </c:pt>
                <c:pt idx="129">
                  <c:v>0.98484848484848486</c:v>
                </c:pt>
                <c:pt idx="130" formatCode="0.000_ ">
                  <c:v>1.0606060606060606</c:v>
                </c:pt>
                <c:pt idx="131" formatCode="0.000_ ">
                  <c:v>1.1363636363636365</c:v>
                </c:pt>
                <c:pt idx="132" formatCode="0.000_ ">
                  <c:v>1.2121212121212122</c:v>
                </c:pt>
                <c:pt idx="133" formatCode="0.000_ ">
                  <c:v>1.2878787878787878</c:v>
                </c:pt>
                <c:pt idx="134" formatCode="0.000_ ">
                  <c:v>1.3636363636363635</c:v>
                </c:pt>
                <c:pt idx="135" formatCode="0.000_ ">
                  <c:v>1.5151515151515151</c:v>
                </c:pt>
                <c:pt idx="136" formatCode="0.000_ ">
                  <c:v>1.7045454545454546</c:v>
                </c:pt>
                <c:pt idx="137" formatCode="0.000_ ">
                  <c:v>1.893939393939394</c:v>
                </c:pt>
                <c:pt idx="138" formatCode="0.000_ ">
                  <c:v>2.0833333333333335</c:v>
                </c:pt>
                <c:pt idx="139" formatCode="0.000_ ">
                  <c:v>2.2727272727272729</c:v>
                </c:pt>
                <c:pt idx="140" formatCode="0.000_ ">
                  <c:v>2.4621212121212119</c:v>
                </c:pt>
                <c:pt idx="141" formatCode="0.000_ ">
                  <c:v>2.6515151515151514</c:v>
                </c:pt>
                <c:pt idx="142" formatCode="0.000_ ">
                  <c:v>2.8409090909090908</c:v>
                </c:pt>
                <c:pt idx="143" formatCode="0.000_ ">
                  <c:v>3.0303030303030303</c:v>
                </c:pt>
                <c:pt idx="144" formatCode="0.000_ ">
                  <c:v>3.4090909090909092</c:v>
                </c:pt>
                <c:pt idx="145" formatCode="0.000_ ">
                  <c:v>3.7878787878787881</c:v>
                </c:pt>
                <c:pt idx="146" formatCode="0.000_ ">
                  <c:v>4.166666666666667</c:v>
                </c:pt>
                <c:pt idx="147" formatCode="0.000_ ">
                  <c:v>4.5454545454545459</c:v>
                </c:pt>
                <c:pt idx="148" formatCode="0.000_ ">
                  <c:v>4.9242424242424239</c:v>
                </c:pt>
                <c:pt idx="149" formatCode="0.000_ ">
                  <c:v>5.3030303030303028</c:v>
                </c:pt>
                <c:pt idx="150" formatCode="0.000_ ">
                  <c:v>6.0606060606060606</c:v>
                </c:pt>
                <c:pt idx="151" formatCode="0.000_ ">
                  <c:v>6.8181818181818183</c:v>
                </c:pt>
                <c:pt idx="152" formatCode="0.000_ ">
                  <c:v>7.5757575757575761</c:v>
                </c:pt>
                <c:pt idx="153" formatCode="0.000_ ">
                  <c:v>8.3333333333333339</c:v>
                </c:pt>
                <c:pt idx="154" formatCode="0.000_ ">
                  <c:v>9.0909090909090917</c:v>
                </c:pt>
                <c:pt idx="155" formatCode="0.000_ ">
                  <c:v>9.8484848484848477</c:v>
                </c:pt>
                <c:pt idx="156" formatCode="0.000_ ">
                  <c:v>10.606060606060606</c:v>
                </c:pt>
                <c:pt idx="157" formatCode="0.000_ ">
                  <c:v>11.363636363636363</c:v>
                </c:pt>
                <c:pt idx="158" formatCode="0.000_ ">
                  <c:v>12.121212121212121</c:v>
                </c:pt>
                <c:pt idx="159" formatCode="0.000_ ">
                  <c:v>12.878787878787879</c:v>
                </c:pt>
                <c:pt idx="160" formatCode="0.000_ ">
                  <c:v>13.636363636363637</c:v>
                </c:pt>
                <c:pt idx="161" formatCode="0.000_ ">
                  <c:v>15.151515151515152</c:v>
                </c:pt>
                <c:pt idx="162" formatCode="0.000_ ">
                  <c:v>17.045454545454547</c:v>
                </c:pt>
                <c:pt idx="163" formatCode="0.000_ ">
                  <c:v>18.939393939393938</c:v>
                </c:pt>
                <c:pt idx="164" formatCode="0.000_ ">
                  <c:v>20.833333333333332</c:v>
                </c:pt>
                <c:pt idx="165" formatCode="0.000_ ">
                  <c:v>22.727272727272727</c:v>
                </c:pt>
                <c:pt idx="166" formatCode="0.000_ ">
                  <c:v>24.621212121212121</c:v>
                </c:pt>
                <c:pt idx="167" formatCode="0.000_ ">
                  <c:v>26.515151515151516</c:v>
                </c:pt>
                <c:pt idx="168" formatCode="0.000_ ">
                  <c:v>28.40909090909091</c:v>
                </c:pt>
                <c:pt idx="169" formatCode="0.000_ ">
                  <c:v>30.303030303030305</c:v>
                </c:pt>
                <c:pt idx="170" formatCode="0.000_ ">
                  <c:v>34.090909090909093</c:v>
                </c:pt>
                <c:pt idx="171" formatCode="0.000_ ">
                  <c:v>37.878787878787875</c:v>
                </c:pt>
                <c:pt idx="172" formatCode="0.000_ ">
                  <c:v>41.666666666666664</c:v>
                </c:pt>
                <c:pt idx="173" formatCode="0.000_ ">
                  <c:v>45.454545454545453</c:v>
                </c:pt>
                <c:pt idx="174" formatCode="0.000_ ">
                  <c:v>49.242424242424242</c:v>
                </c:pt>
                <c:pt idx="175" formatCode="0.000_ ">
                  <c:v>53.030303030303031</c:v>
                </c:pt>
                <c:pt idx="176" formatCode="0.000_ ">
                  <c:v>60.606060606060609</c:v>
                </c:pt>
                <c:pt idx="177" formatCode="0.000_ ">
                  <c:v>68.181818181818187</c:v>
                </c:pt>
                <c:pt idx="178" formatCode="0.000_ ">
                  <c:v>75.757575757575751</c:v>
                </c:pt>
                <c:pt idx="179" formatCode="0.000_ ">
                  <c:v>83.333333333333329</c:v>
                </c:pt>
                <c:pt idx="180" formatCode="0.000_ ">
                  <c:v>90.909090909090907</c:v>
                </c:pt>
                <c:pt idx="181" formatCode="0.000_ ">
                  <c:v>98.484848484848484</c:v>
                </c:pt>
                <c:pt idx="182" formatCode="0.00_ ">
                  <c:v>106.06060606060606</c:v>
                </c:pt>
                <c:pt idx="183" formatCode="0.00_ ">
                  <c:v>113.63636363636364</c:v>
                </c:pt>
                <c:pt idx="184" formatCode="0.00_ ">
                  <c:v>121.21212121212122</c:v>
                </c:pt>
                <c:pt idx="185" formatCode="0.00_ ">
                  <c:v>128.78787878787878</c:v>
                </c:pt>
                <c:pt idx="186" formatCode="0.00_ ">
                  <c:v>136.36363636363637</c:v>
                </c:pt>
                <c:pt idx="187" formatCode="0.00_ ">
                  <c:v>151.5151515151515</c:v>
                </c:pt>
                <c:pt idx="188" formatCode="0.00_ ">
                  <c:v>170.45454545454547</c:v>
                </c:pt>
                <c:pt idx="189" formatCode="0.00_ ">
                  <c:v>189.39393939393941</c:v>
                </c:pt>
                <c:pt idx="190" formatCode="0.00_ ">
                  <c:v>208.33333333333334</c:v>
                </c:pt>
                <c:pt idx="191" formatCode="0.00_ ">
                  <c:v>227.27272727272728</c:v>
                </c:pt>
                <c:pt idx="192" formatCode="0.00_ ">
                  <c:v>246.21212121212122</c:v>
                </c:pt>
                <c:pt idx="193" formatCode="0.00_ ">
                  <c:v>265.15151515151513</c:v>
                </c:pt>
                <c:pt idx="194" formatCode="0.00_ ">
                  <c:v>284.09090909090907</c:v>
                </c:pt>
                <c:pt idx="195" formatCode="0.00_ ">
                  <c:v>303.030303030303</c:v>
                </c:pt>
                <c:pt idx="196" formatCode="0.00_ ">
                  <c:v>340.90909090909093</c:v>
                </c:pt>
                <c:pt idx="197" formatCode="0.00_ ">
                  <c:v>378.78787878787881</c:v>
                </c:pt>
                <c:pt idx="198" formatCode="0.00_ ">
                  <c:v>416.66666666666669</c:v>
                </c:pt>
                <c:pt idx="199" formatCode="0.00_ ">
                  <c:v>454.54545454545456</c:v>
                </c:pt>
                <c:pt idx="200" formatCode="0.00_ ">
                  <c:v>492.42424242424244</c:v>
                </c:pt>
                <c:pt idx="201" formatCode="0.00_ ">
                  <c:v>530.30303030303025</c:v>
                </c:pt>
                <c:pt idx="202" formatCode="0.00_ ">
                  <c:v>606.06060606060601</c:v>
                </c:pt>
                <c:pt idx="203" formatCode="0.00_ ">
                  <c:v>681.81818181818187</c:v>
                </c:pt>
                <c:pt idx="204" formatCode="0.00_ ">
                  <c:v>757.57575757575762</c:v>
                </c:pt>
                <c:pt idx="205" formatCode="0.00_ ">
                  <c:v>833.33333333333337</c:v>
                </c:pt>
                <c:pt idx="206" formatCode="0.00_ ">
                  <c:v>909.09090909090912</c:v>
                </c:pt>
                <c:pt idx="207" formatCode="0.00_ ">
                  <c:v>984.84848484848487</c:v>
                </c:pt>
                <c:pt idx="208" formatCode="0.00_ ">
                  <c:v>1000</c:v>
                </c:pt>
              </c:numCache>
            </c:numRef>
          </c:xVal>
          <c:yVal>
            <c:numRef>
              <c:f>'dbg33'!$X$11:$X$219</c:f>
              <c:numCache>
                <c:formatCode>0.000_ </c:formatCode>
                <c:ptCount val="20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29.953588226189783</c:v>
                </c:pt>
                <c:pt idx="114">
                  <c:v>31.63810651540334</c:v>
                </c:pt>
                <c:pt idx="115">
                  <c:v>33.398054444182939</c:v>
                </c:pt>
                <c:pt idx="116">
                  <c:v>35.218585457247151</c:v>
                </c:pt>
                <c:pt idx="117">
                  <c:v>37.056820751364796</c:v>
                </c:pt>
                <c:pt idx="118">
                  <c:v>40.755512289284937</c:v>
                </c:pt>
                <c:pt idx="119">
                  <c:v>44.497872048325092</c:v>
                </c:pt>
                <c:pt idx="120">
                  <c:v>48.247730184880105</c:v>
                </c:pt>
                <c:pt idx="121">
                  <c:v>51.9793420198692</c:v>
                </c:pt>
                <c:pt idx="122">
                  <c:v>55.657807756468038</c:v>
                </c:pt>
                <c:pt idx="123">
                  <c:v>59.297276221856123</c:v>
                </c:pt>
                <c:pt idx="124">
                  <c:v>66.330090740304897</c:v>
                </c:pt>
                <c:pt idx="125">
                  <c:v>72.995994443906056</c:v>
                </c:pt>
                <c:pt idx="126">
                  <c:v>79.117020645027239</c:v>
                </c:pt>
                <c:pt idx="127">
                  <c:v>84.666549634951068</c:v>
                </c:pt>
                <c:pt idx="128">
                  <c:v>89.569047693056888</c:v>
                </c:pt>
                <c:pt idx="129">
                  <c:v>93.79499016108366</c:v>
                </c:pt>
                <c:pt idx="130">
                  <c:v>97.43544381209125</c:v>
                </c:pt>
                <c:pt idx="131">
                  <c:v>100.60145189590284</c:v>
                </c:pt>
                <c:pt idx="132">
                  <c:v>103.25758740618708</c:v>
                </c:pt>
                <c:pt idx="133">
                  <c:v>105.546097992556</c:v>
                </c:pt>
                <c:pt idx="134">
                  <c:v>107.48998610976517</c:v>
                </c:pt>
                <c:pt idx="135">
                  <c:v>110.68183162252356</c:v>
                </c:pt>
                <c:pt idx="136">
                  <c:v>113.48865092440052</c:v>
                </c:pt>
                <c:pt idx="137">
                  <c:v>115.41929405972471</c:v>
                </c:pt>
                <c:pt idx="138">
                  <c:v>116.74243956954442</c:v>
                </c:pt>
                <c:pt idx="139">
                  <c:v>117.74563328186608</c:v>
                </c:pt>
                <c:pt idx="140">
                  <c:v>118.62398282661874</c:v>
                </c:pt>
                <c:pt idx="141">
                  <c:v>119.21829771912142</c:v>
                </c:pt>
                <c:pt idx="142">
                  <c:v>119.65660028426525</c:v>
                </c:pt>
                <c:pt idx="143">
                  <c:v>120.07998250859313</c:v>
                </c:pt>
                <c:pt idx="144">
                  <c:v>120.50968387059764</c:v>
                </c:pt>
                <c:pt idx="145">
                  <c:v>120.8673980423976</c:v>
                </c:pt>
                <c:pt idx="146">
                  <c:v>120.90654888300251</c:v>
                </c:pt>
                <c:pt idx="147">
                  <c:v>120.66389202000062</c:v>
                </c:pt>
                <c:pt idx="148">
                  <c:v>120.24988847024444</c:v>
                </c:pt>
                <c:pt idx="149">
                  <c:v>119.70689823297248</c:v>
                </c:pt>
                <c:pt idx="150">
                  <c:v>118.13553806414876</c:v>
                </c:pt>
                <c:pt idx="151">
                  <c:v>116.37946988029361</c:v>
                </c:pt>
                <c:pt idx="152">
                  <c:v>114.14461777211967</c:v>
                </c:pt>
                <c:pt idx="153">
                  <c:v>111.65904607363454</c:v>
                </c:pt>
                <c:pt idx="154">
                  <c:v>109.15776912567537</c:v>
                </c:pt>
                <c:pt idx="155">
                  <c:v>106.41825812967878</c:v>
                </c:pt>
                <c:pt idx="156">
                  <c:v>103.7841428294395</c:v>
                </c:pt>
                <c:pt idx="157">
                  <c:v>101.03573358235153</c:v>
                </c:pt>
                <c:pt idx="158">
                  <c:v>98.385317883331254</c:v>
                </c:pt>
                <c:pt idx="159">
                  <c:v>95.894550341981102</c:v>
                </c:pt>
                <c:pt idx="160">
                  <c:v>93.391139310573266</c:v>
                </c:pt>
                <c:pt idx="161">
                  <c:v>89.809191847476072</c:v>
                </c:pt>
                <c:pt idx="162">
                  <c:v>84.884248028790353</c:v>
                </c:pt>
                <c:pt idx="163">
                  <c:v>79.971672323199385</c:v>
                </c:pt>
                <c:pt idx="164">
                  <c:v>75.667673977250686</c:v>
                </c:pt>
                <c:pt idx="165">
                  <c:v>71.947698943732149</c:v>
                </c:pt>
                <c:pt idx="166">
                  <c:v>68.722722043372613</c:v>
                </c:pt>
                <c:pt idx="167">
                  <c:v>66.017214019520623</c:v>
                </c:pt>
                <c:pt idx="168">
                  <c:v>63.705174668223179</c:v>
                </c:pt>
                <c:pt idx="169">
                  <c:v>61.726601375230146</c:v>
                </c:pt>
                <c:pt idx="170">
                  <c:v>58.629873945770555</c:v>
                </c:pt>
                <c:pt idx="171">
                  <c:v>54.714241273379173</c:v>
                </c:pt>
                <c:pt idx="172">
                  <c:v>51.346137113978216</c:v>
                </c:pt>
                <c:pt idx="173">
                  <c:v>48.945873027242556</c:v>
                </c:pt>
                <c:pt idx="174">
                  <c:v>45.995136110457167</c:v>
                </c:pt>
                <c:pt idx="175">
                  <c:v>42.928793703093419</c:v>
                </c:pt>
                <c:pt idx="176">
                  <c:v>40.245744096649787</c:v>
                </c:pt>
                <c:pt idx="177">
                  <c:v>37.878347385083146</c:v>
                </c:pt>
                <c:pt idx="178">
                  <c:v>34.807130029535813</c:v>
                </c:pt>
                <c:pt idx="179">
                  <c:v>32.19659527731983</c:v>
                </c:pt>
                <c:pt idx="180">
                  <c:v>30.663424073639362</c:v>
                </c:pt>
                <c:pt idx="181">
                  <c:v>28.61919580206353</c:v>
                </c:pt>
                <c:pt idx="182">
                  <c:v>27.401357682825108</c:v>
                </c:pt>
                <c:pt idx="183">
                  <c:v>25.757276221856614</c:v>
                </c:pt>
                <c:pt idx="184">
                  <c:v>25.252231590056056</c:v>
                </c:pt>
                <c:pt idx="185">
                  <c:v>23.849329835052004</c:v>
                </c:pt>
                <c:pt idx="186">
                  <c:v>22.997568055229522</c:v>
                </c:pt>
                <c:pt idx="187">
                  <c:v>21.82820018801408</c:v>
                </c:pt>
                <c:pt idx="188">
                  <c:v>20.249430992026419</c:v>
                </c:pt>
                <c:pt idx="189">
                  <c:v>18.939173692540635</c:v>
                </c:pt>
                <c:pt idx="190">
                  <c:v>17.788174186363676</c:v>
                </c:pt>
                <c:pt idx="191">
                  <c:v>16.856856166136822</c:v>
                </c:pt>
                <c:pt idx="192">
                  <c:v>16.018206605633623</c:v>
                </c:pt>
                <c:pt idx="193">
                  <c:v>15.331712036819681</c:v>
                </c:pt>
                <c:pt idx="194">
                  <c:v>14.701641679140721</c:v>
                </c:pt>
                <c:pt idx="195">
                  <c:v>14.183522148602151</c:v>
                </c:pt>
                <c:pt idx="196">
                  <c:v>13.527981208955453</c:v>
                </c:pt>
                <c:pt idx="197">
                  <c:v>12.776426697352235</c:v>
                </c:pt>
                <c:pt idx="198">
                  <c:v>12.195680029285995</c:v>
                </c:pt>
                <c:pt idx="199">
                  <c:v>11.686604456381247</c:v>
                </c:pt>
                <c:pt idx="200">
                  <c:v>11.277266296782045</c:v>
                </c:pt>
                <c:pt idx="201">
                  <c:v>10.914100094010792</c:v>
                </c:pt>
                <c:pt idx="202">
                  <c:v>10.513173968094634</c:v>
                </c:pt>
                <c:pt idx="203">
                  <c:v>10.053581663476507</c:v>
                </c:pt>
                <c:pt idx="204">
                  <c:v>9.7123967654019907</c:v>
                </c:pt>
                <c:pt idx="205">
                  <c:v>9.4418167968583475</c:v>
                </c:pt>
                <c:pt idx="206">
                  <c:v>9.2253854662776575</c:v>
                </c:pt>
                <c:pt idx="207">
                  <c:v>9.0567075323092467</c:v>
                </c:pt>
                <c:pt idx="208">
                  <c:v>8.9746607044794473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7B5-47B7-A394-65373099B632}"/>
            </c:ext>
          </c:extLst>
        </c:ser>
        <c:ser>
          <c:idx val="1"/>
          <c:order val="1"/>
          <c:tx>
            <c:v>ws1 dEt1 stop</c:v>
          </c:tx>
          <c:spPr>
            <a:ln w="12700">
              <a:solidFill>
                <a:srgbClr val="CC66FF"/>
              </a:solidFill>
            </a:ln>
          </c:spPr>
          <c:marker>
            <c:symbol val="circle"/>
            <c:size val="2"/>
            <c:spPr>
              <a:solidFill>
                <a:srgbClr val="CC66FF"/>
              </a:solidFill>
              <a:ln>
                <a:noFill/>
              </a:ln>
            </c:spPr>
          </c:marker>
          <c:xVal>
            <c:numRef>
              <c:f>'dbg33'!$R$11:$R$219</c:f>
              <c:numCache>
                <c:formatCode>0.00000_ </c:formatCode>
                <c:ptCount val="209"/>
                <c:pt idx="0">
                  <c:v>1.0606060606060606E-5</c:v>
                </c:pt>
                <c:pt idx="1">
                  <c:v>1.1363636363636365E-5</c:v>
                </c:pt>
                <c:pt idx="2">
                  <c:v>1.2121212121212122E-5</c:v>
                </c:pt>
                <c:pt idx="3">
                  <c:v>1.2878787878787878E-5</c:v>
                </c:pt>
                <c:pt idx="4">
                  <c:v>1.3636363636363637E-5</c:v>
                </c:pt>
                <c:pt idx="5">
                  <c:v>1.5151515151515151E-5</c:v>
                </c:pt>
                <c:pt idx="6">
                  <c:v>1.7045454545454543E-5</c:v>
                </c:pt>
                <c:pt idx="7">
                  <c:v>1.8939393939393939E-5</c:v>
                </c:pt>
                <c:pt idx="8">
                  <c:v>2.0833333333333333E-5</c:v>
                </c:pt>
                <c:pt idx="9">
                  <c:v>2.2727272727272729E-5</c:v>
                </c:pt>
                <c:pt idx="10">
                  <c:v>2.4621212121212119E-5</c:v>
                </c:pt>
                <c:pt idx="11">
                  <c:v>2.6515151515151516E-5</c:v>
                </c:pt>
                <c:pt idx="12">
                  <c:v>2.8409090909090909E-5</c:v>
                </c:pt>
                <c:pt idx="13">
                  <c:v>3.0303030303030302E-5</c:v>
                </c:pt>
                <c:pt idx="14">
                  <c:v>3.4090909090909085E-5</c:v>
                </c:pt>
                <c:pt idx="15">
                  <c:v>3.7878787878787879E-5</c:v>
                </c:pt>
                <c:pt idx="16">
                  <c:v>4.1666666666666665E-5</c:v>
                </c:pt>
                <c:pt idx="17">
                  <c:v>4.5454545454545459E-5</c:v>
                </c:pt>
                <c:pt idx="18">
                  <c:v>4.9242424242424238E-5</c:v>
                </c:pt>
                <c:pt idx="19">
                  <c:v>5.3030303030303032E-5</c:v>
                </c:pt>
                <c:pt idx="20">
                  <c:v>6.0606060606060605E-5</c:v>
                </c:pt>
                <c:pt idx="21">
                  <c:v>6.8181818181818171E-5</c:v>
                </c:pt>
                <c:pt idx="22">
                  <c:v>7.5757575757575758E-5</c:v>
                </c:pt>
                <c:pt idx="23">
                  <c:v>8.3333333333333331E-5</c:v>
                </c:pt>
                <c:pt idx="24">
                  <c:v>9.0909090909090917E-5</c:v>
                </c:pt>
                <c:pt idx="25">
                  <c:v>9.8484848484848477E-5</c:v>
                </c:pt>
                <c:pt idx="26">
                  <c:v>1.0606060606060606E-4</c:v>
                </c:pt>
                <c:pt idx="27">
                  <c:v>1.1363636363636364E-4</c:v>
                </c:pt>
                <c:pt idx="28">
                  <c:v>1.2121212121212121E-4</c:v>
                </c:pt>
                <c:pt idx="29">
                  <c:v>1.2878787878787881E-4</c:v>
                </c:pt>
                <c:pt idx="30">
                  <c:v>1.3636363636363634E-4</c:v>
                </c:pt>
                <c:pt idx="31">
                  <c:v>1.5151515151515152E-4</c:v>
                </c:pt>
                <c:pt idx="32">
                  <c:v>1.7045454545454544E-4</c:v>
                </c:pt>
                <c:pt idx="33">
                  <c:v>1.8939393939393939E-4</c:v>
                </c:pt>
                <c:pt idx="34">
                  <c:v>2.0833333333333335E-4</c:v>
                </c:pt>
                <c:pt idx="35">
                  <c:v>2.2727272727272727E-4</c:v>
                </c:pt>
                <c:pt idx="36">
                  <c:v>2.4621212121212123E-4</c:v>
                </c:pt>
                <c:pt idx="37">
                  <c:v>2.6515151515151518E-4</c:v>
                </c:pt>
                <c:pt idx="38">
                  <c:v>2.8409090909090908E-4</c:v>
                </c:pt>
                <c:pt idx="39">
                  <c:v>3.0303030303030303E-4</c:v>
                </c:pt>
                <c:pt idx="40">
                  <c:v>3.4090909090909088E-4</c:v>
                </c:pt>
                <c:pt idx="41">
                  <c:v>3.7878787878787879E-4</c:v>
                </c:pt>
                <c:pt idx="42">
                  <c:v>4.1666666666666669E-4</c:v>
                </c:pt>
                <c:pt idx="43">
                  <c:v>4.5454545454545455E-4</c:v>
                </c:pt>
                <c:pt idx="44">
                  <c:v>4.9242424242424245E-4</c:v>
                </c:pt>
                <c:pt idx="45">
                  <c:v>5.3030303030303036E-4</c:v>
                </c:pt>
                <c:pt idx="46">
                  <c:v>6.0606060606060606E-4</c:v>
                </c:pt>
                <c:pt idx="47">
                  <c:v>6.8181818181818176E-4</c:v>
                </c:pt>
                <c:pt idx="48">
                  <c:v>7.5757575757575758E-4</c:v>
                </c:pt>
                <c:pt idx="49">
                  <c:v>8.3333333333333339E-4</c:v>
                </c:pt>
                <c:pt idx="50">
                  <c:v>9.0909090909090909E-4</c:v>
                </c:pt>
                <c:pt idx="51">
                  <c:v>9.848484848484849E-4</c:v>
                </c:pt>
                <c:pt idx="52">
                  <c:v>1.0606060606060607E-3</c:v>
                </c:pt>
                <c:pt idx="53">
                  <c:v>1.1363636363636363E-3</c:v>
                </c:pt>
                <c:pt idx="54">
                  <c:v>1.2121212121212121E-3</c:v>
                </c:pt>
                <c:pt idx="55">
                  <c:v>1.2878787878787879E-3</c:v>
                </c:pt>
                <c:pt idx="56">
                  <c:v>1.3636363636363635E-3</c:v>
                </c:pt>
                <c:pt idx="57">
                  <c:v>1.5151515151515152E-3</c:v>
                </c:pt>
                <c:pt idx="58">
                  <c:v>1.7045454545454547E-3</c:v>
                </c:pt>
                <c:pt idx="59">
                  <c:v>1.893939393939394E-3</c:v>
                </c:pt>
                <c:pt idx="60">
                  <c:v>2.0833333333333333E-3</c:v>
                </c:pt>
                <c:pt idx="61">
                  <c:v>2.2727272727272726E-3</c:v>
                </c:pt>
                <c:pt idx="62">
                  <c:v>2.4621212121212124E-3</c:v>
                </c:pt>
                <c:pt idx="63">
                  <c:v>2.6515151515151512E-3</c:v>
                </c:pt>
                <c:pt idx="64">
                  <c:v>2.840909090909091E-3</c:v>
                </c:pt>
                <c:pt idx="65">
                  <c:v>3.0303030303030303E-3</c:v>
                </c:pt>
                <c:pt idx="66">
                  <c:v>3.4090909090909094E-3</c:v>
                </c:pt>
                <c:pt idx="67">
                  <c:v>3.787878787878788E-3</c:v>
                </c:pt>
                <c:pt idx="68">
                  <c:v>4.1666666666666666E-3</c:v>
                </c:pt>
                <c:pt idx="69">
                  <c:v>4.5454545454545452E-3</c:v>
                </c:pt>
                <c:pt idx="70">
                  <c:v>4.9242424242424247E-3</c:v>
                </c:pt>
                <c:pt idx="71">
                  <c:v>5.3030303030303025E-3</c:v>
                </c:pt>
                <c:pt idx="72">
                  <c:v>6.0606060606060606E-3</c:v>
                </c:pt>
                <c:pt idx="73">
                  <c:v>6.8181818181818187E-3</c:v>
                </c:pt>
                <c:pt idx="74">
                  <c:v>7.575757575757576E-3</c:v>
                </c:pt>
                <c:pt idx="75">
                  <c:v>8.3333333333333332E-3</c:v>
                </c:pt>
                <c:pt idx="76">
                  <c:v>9.0909090909090905E-3</c:v>
                </c:pt>
                <c:pt idx="77">
                  <c:v>9.8484848484848495E-3</c:v>
                </c:pt>
                <c:pt idx="78">
                  <c:v>1.0606060606060605E-2</c:v>
                </c:pt>
                <c:pt idx="79">
                  <c:v>1.1363636363636364E-2</c:v>
                </c:pt>
                <c:pt idx="80">
                  <c:v>1.2121212121212121E-2</c:v>
                </c:pt>
                <c:pt idx="81">
                  <c:v>1.2878787878787878E-2</c:v>
                </c:pt>
                <c:pt idx="82">
                  <c:v>1.3636363636363637E-2</c:v>
                </c:pt>
                <c:pt idx="83">
                  <c:v>1.5151515151515152E-2</c:v>
                </c:pt>
                <c:pt idx="84">
                  <c:v>1.7045454545454544E-2</c:v>
                </c:pt>
                <c:pt idx="85">
                  <c:v>1.893939393939394E-2</c:v>
                </c:pt>
                <c:pt idx="86">
                  <c:v>2.0833333333333332E-2</c:v>
                </c:pt>
                <c:pt idx="87">
                  <c:v>2.2727272727272728E-2</c:v>
                </c:pt>
                <c:pt idx="88">
                  <c:v>2.462121212121212E-2</c:v>
                </c:pt>
                <c:pt idx="89">
                  <c:v>2.6515151515151516E-2</c:v>
                </c:pt>
                <c:pt idx="90">
                  <c:v>2.8409090909090908E-2</c:v>
                </c:pt>
                <c:pt idx="91">
                  <c:v>3.0303030303030304E-2</c:v>
                </c:pt>
                <c:pt idx="92">
                  <c:v>3.4090909090909088E-2</c:v>
                </c:pt>
                <c:pt idx="93">
                  <c:v>3.787878787878788E-2</c:v>
                </c:pt>
                <c:pt idx="94">
                  <c:v>4.1666666666666664E-2</c:v>
                </c:pt>
                <c:pt idx="95">
                  <c:v>4.5454545454545456E-2</c:v>
                </c:pt>
                <c:pt idx="96">
                  <c:v>4.924242424242424E-2</c:v>
                </c:pt>
                <c:pt idx="97">
                  <c:v>5.3030303030303032E-2</c:v>
                </c:pt>
                <c:pt idx="98">
                  <c:v>6.0606060606060608E-2</c:v>
                </c:pt>
                <c:pt idx="99">
                  <c:v>6.8181818181818177E-2</c:v>
                </c:pt>
                <c:pt idx="100">
                  <c:v>7.575757575757576E-2</c:v>
                </c:pt>
                <c:pt idx="101">
                  <c:v>8.3333333333333329E-2</c:v>
                </c:pt>
                <c:pt idx="102">
                  <c:v>9.0909090909090912E-2</c:v>
                </c:pt>
                <c:pt idx="103">
                  <c:v>9.8484848484848481E-2</c:v>
                </c:pt>
                <c:pt idx="104">
                  <c:v>0.10606060606060606</c:v>
                </c:pt>
                <c:pt idx="105">
                  <c:v>0.11363636363636363</c:v>
                </c:pt>
                <c:pt idx="106">
                  <c:v>0.12121212121212122</c:v>
                </c:pt>
                <c:pt idx="107">
                  <c:v>0.12878787878787878</c:v>
                </c:pt>
                <c:pt idx="108">
                  <c:v>0.13636363636363635</c:v>
                </c:pt>
                <c:pt idx="109">
                  <c:v>0.15151515151515152</c:v>
                </c:pt>
                <c:pt idx="110">
                  <c:v>0.17045454545454544</c:v>
                </c:pt>
                <c:pt idx="111">
                  <c:v>0.18939393939393939</c:v>
                </c:pt>
                <c:pt idx="112">
                  <c:v>0.20833333333333334</c:v>
                </c:pt>
                <c:pt idx="113">
                  <c:v>0.22727272727272727</c:v>
                </c:pt>
                <c:pt idx="114">
                  <c:v>0.24621212121212122</c:v>
                </c:pt>
                <c:pt idx="115">
                  <c:v>0.26515151515151514</c:v>
                </c:pt>
                <c:pt idx="116">
                  <c:v>0.28409090909090912</c:v>
                </c:pt>
                <c:pt idx="117">
                  <c:v>0.30303030303030304</c:v>
                </c:pt>
                <c:pt idx="118">
                  <c:v>0.34090909090909088</c:v>
                </c:pt>
                <c:pt idx="119">
                  <c:v>0.37878787878787878</c:v>
                </c:pt>
                <c:pt idx="120">
                  <c:v>0.41666666666666669</c:v>
                </c:pt>
                <c:pt idx="121">
                  <c:v>0.45454545454545453</c:v>
                </c:pt>
                <c:pt idx="122">
                  <c:v>0.49242424242424243</c:v>
                </c:pt>
                <c:pt idx="123">
                  <c:v>0.53030303030303028</c:v>
                </c:pt>
                <c:pt idx="124">
                  <c:v>0.60606060606060608</c:v>
                </c:pt>
                <c:pt idx="125">
                  <c:v>0.68181818181818177</c:v>
                </c:pt>
                <c:pt idx="126">
                  <c:v>0.75757575757575757</c:v>
                </c:pt>
                <c:pt idx="127">
                  <c:v>0.83333333333333337</c:v>
                </c:pt>
                <c:pt idx="128">
                  <c:v>0.90909090909090906</c:v>
                </c:pt>
                <c:pt idx="129">
                  <c:v>0.98484848484848486</c:v>
                </c:pt>
                <c:pt idx="130" formatCode="0.000_ ">
                  <c:v>1.0606060606060606</c:v>
                </c:pt>
                <c:pt idx="131" formatCode="0.000_ ">
                  <c:v>1.1363636363636365</c:v>
                </c:pt>
                <c:pt idx="132" formatCode="0.000_ ">
                  <c:v>1.2121212121212122</c:v>
                </c:pt>
                <c:pt idx="133" formatCode="0.000_ ">
                  <c:v>1.2878787878787878</c:v>
                </c:pt>
                <c:pt idx="134" formatCode="0.000_ ">
                  <c:v>1.3636363636363635</c:v>
                </c:pt>
                <c:pt idx="135" formatCode="0.000_ ">
                  <c:v>1.5151515151515151</c:v>
                </c:pt>
                <c:pt idx="136" formatCode="0.000_ ">
                  <c:v>1.7045454545454546</c:v>
                </c:pt>
                <c:pt idx="137" formatCode="0.000_ ">
                  <c:v>1.893939393939394</c:v>
                </c:pt>
                <c:pt idx="138" formatCode="0.000_ ">
                  <c:v>2.0833333333333335</c:v>
                </c:pt>
                <c:pt idx="139" formatCode="0.000_ ">
                  <c:v>2.2727272727272729</c:v>
                </c:pt>
                <c:pt idx="140" formatCode="0.000_ ">
                  <c:v>2.4621212121212119</c:v>
                </c:pt>
                <c:pt idx="141" formatCode="0.000_ ">
                  <c:v>2.6515151515151514</c:v>
                </c:pt>
                <c:pt idx="142" formatCode="0.000_ ">
                  <c:v>2.8409090909090908</c:v>
                </c:pt>
                <c:pt idx="143" formatCode="0.000_ ">
                  <c:v>3.0303030303030303</c:v>
                </c:pt>
                <c:pt idx="144" formatCode="0.000_ ">
                  <c:v>3.4090909090909092</c:v>
                </c:pt>
                <c:pt idx="145" formatCode="0.000_ ">
                  <c:v>3.7878787878787881</c:v>
                </c:pt>
                <c:pt idx="146" formatCode="0.000_ ">
                  <c:v>4.166666666666667</c:v>
                </c:pt>
                <c:pt idx="147" formatCode="0.000_ ">
                  <c:v>4.5454545454545459</c:v>
                </c:pt>
                <c:pt idx="148" formatCode="0.000_ ">
                  <c:v>4.9242424242424239</c:v>
                </c:pt>
                <c:pt idx="149" formatCode="0.000_ ">
                  <c:v>5.3030303030303028</c:v>
                </c:pt>
                <c:pt idx="150" formatCode="0.000_ ">
                  <c:v>6.0606060606060606</c:v>
                </c:pt>
                <c:pt idx="151" formatCode="0.000_ ">
                  <c:v>6.8181818181818183</c:v>
                </c:pt>
                <c:pt idx="152" formatCode="0.000_ ">
                  <c:v>7.5757575757575761</c:v>
                </c:pt>
                <c:pt idx="153" formatCode="0.000_ ">
                  <c:v>8.3333333333333339</c:v>
                </c:pt>
                <c:pt idx="154" formatCode="0.000_ ">
                  <c:v>9.0909090909090917</c:v>
                </c:pt>
                <c:pt idx="155" formatCode="0.000_ ">
                  <c:v>9.8484848484848477</c:v>
                </c:pt>
                <c:pt idx="156" formatCode="0.000_ ">
                  <c:v>10.606060606060606</c:v>
                </c:pt>
                <c:pt idx="157" formatCode="0.000_ ">
                  <c:v>11.363636363636363</c:v>
                </c:pt>
                <c:pt idx="158" formatCode="0.000_ ">
                  <c:v>12.121212121212121</c:v>
                </c:pt>
                <c:pt idx="159" formatCode="0.000_ ">
                  <c:v>12.878787878787879</c:v>
                </c:pt>
                <c:pt idx="160" formatCode="0.000_ ">
                  <c:v>13.636363636363637</c:v>
                </c:pt>
                <c:pt idx="161" formatCode="0.000_ ">
                  <c:v>15.151515151515152</c:v>
                </c:pt>
                <c:pt idx="162" formatCode="0.000_ ">
                  <c:v>17.045454545454547</c:v>
                </c:pt>
                <c:pt idx="163" formatCode="0.000_ ">
                  <c:v>18.939393939393938</c:v>
                </c:pt>
                <c:pt idx="164" formatCode="0.000_ ">
                  <c:v>20.833333333333332</c:v>
                </c:pt>
                <c:pt idx="165" formatCode="0.000_ ">
                  <c:v>22.727272727272727</c:v>
                </c:pt>
                <c:pt idx="166" formatCode="0.000_ ">
                  <c:v>24.621212121212121</c:v>
                </c:pt>
                <c:pt idx="167" formatCode="0.000_ ">
                  <c:v>26.515151515151516</c:v>
                </c:pt>
                <c:pt idx="168" formatCode="0.000_ ">
                  <c:v>28.40909090909091</c:v>
                </c:pt>
                <c:pt idx="169" formatCode="0.000_ ">
                  <c:v>30.303030303030305</c:v>
                </c:pt>
                <c:pt idx="170" formatCode="0.000_ ">
                  <c:v>34.090909090909093</c:v>
                </c:pt>
                <c:pt idx="171" formatCode="0.000_ ">
                  <c:v>37.878787878787875</c:v>
                </c:pt>
                <c:pt idx="172" formatCode="0.000_ ">
                  <c:v>41.666666666666664</c:v>
                </c:pt>
                <c:pt idx="173" formatCode="0.000_ ">
                  <c:v>45.454545454545453</c:v>
                </c:pt>
                <c:pt idx="174" formatCode="0.000_ ">
                  <c:v>49.242424242424242</c:v>
                </c:pt>
                <c:pt idx="175" formatCode="0.000_ ">
                  <c:v>53.030303030303031</c:v>
                </c:pt>
                <c:pt idx="176" formatCode="0.000_ ">
                  <c:v>60.606060606060609</c:v>
                </c:pt>
                <c:pt idx="177" formatCode="0.000_ ">
                  <c:v>68.181818181818187</c:v>
                </c:pt>
                <c:pt idx="178" formatCode="0.000_ ">
                  <c:v>75.757575757575751</c:v>
                </c:pt>
                <c:pt idx="179" formatCode="0.000_ ">
                  <c:v>83.333333333333329</c:v>
                </c:pt>
                <c:pt idx="180" formatCode="0.000_ ">
                  <c:v>90.909090909090907</c:v>
                </c:pt>
                <c:pt idx="181" formatCode="0.000_ ">
                  <c:v>98.484848484848484</c:v>
                </c:pt>
                <c:pt idx="182" formatCode="0.00_ ">
                  <c:v>106.06060606060606</c:v>
                </c:pt>
                <c:pt idx="183" formatCode="0.00_ ">
                  <c:v>113.63636363636364</c:v>
                </c:pt>
                <c:pt idx="184" formatCode="0.00_ ">
                  <c:v>121.21212121212122</c:v>
                </c:pt>
                <c:pt idx="185" formatCode="0.00_ ">
                  <c:v>128.78787878787878</c:v>
                </c:pt>
                <c:pt idx="186" formatCode="0.00_ ">
                  <c:v>136.36363636363637</c:v>
                </c:pt>
                <c:pt idx="187" formatCode="0.00_ ">
                  <c:v>151.5151515151515</c:v>
                </c:pt>
                <c:pt idx="188" formatCode="0.00_ ">
                  <c:v>170.45454545454547</c:v>
                </c:pt>
                <c:pt idx="189" formatCode="0.00_ ">
                  <c:v>189.39393939393941</c:v>
                </c:pt>
                <c:pt idx="190" formatCode="0.00_ ">
                  <c:v>208.33333333333334</c:v>
                </c:pt>
                <c:pt idx="191" formatCode="0.00_ ">
                  <c:v>227.27272727272728</c:v>
                </c:pt>
                <c:pt idx="192" formatCode="0.00_ ">
                  <c:v>246.21212121212122</c:v>
                </c:pt>
                <c:pt idx="193" formatCode="0.00_ ">
                  <c:v>265.15151515151513</c:v>
                </c:pt>
                <c:pt idx="194" formatCode="0.00_ ">
                  <c:v>284.09090909090907</c:v>
                </c:pt>
                <c:pt idx="195" formatCode="0.00_ ">
                  <c:v>303.030303030303</c:v>
                </c:pt>
                <c:pt idx="196" formatCode="0.00_ ">
                  <c:v>340.90909090909093</c:v>
                </c:pt>
                <c:pt idx="197" formatCode="0.00_ ">
                  <c:v>378.78787878787881</c:v>
                </c:pt>
                <c:pt idx="198" formatCode="0.00_ ">
                  <c:v>416.66666666666669</c:v>
                </c:pt>
                <c:pt idx="199" formatCode="0.00_ ">
                  <c:v>454.54545454545456</c:v>
                </c:pt>
                <c:pt idx="200" formatCode="0.00_ ">
                  <c:v>492.42424242424244</c:v>
                </c:pt>
                <c:pt idx="201" formatCode="0.00_ ">
                  <c:v>530.30303030303025</c:v>
                </c:pt>
                <c:pt idx="202" formatCode="0.00_ ">
                  <c:v>606.06060606060601</c:v>
                </c:pt>
                <c:pt idx="203" formatCode="0.00_ ">
                  <c:v>681.81818181818187</c:v>
                </c:pt>
                <c:pt idx="204" formatCode="0.00_ ">
                  <c:v>757.57575757575762</c:v>
                </c:pt>
                <c:pt idx="205" formatCode="0.00_ ">
                  <c:v>833.33333333333337</c:v>
                </c:pt>
                <c:pt idx="206" formatCode="0.00_ ">
                  <c:v>909.09090909090912</c:v>
                </c:pt>
                <c:pt idx="207" formatCode="0.00_ ">
                  <c:v>984.84848484848487</c:v>
                </c:pt>
                <c:pt idx="208" formatCode="0.00_ ">
                  <c:v>1000</c:v>
                </c:pt>
              </c:numCache>
            </c:numRef>
          </c:xVal>
          <c:yVal>
            <c:numRef>
              <c:f>'dbg33'!$Y$11:$Y$219</c:f>
              <c:numCache>
                <c:formatCode>0.000_ </c:formatCode>
                <c:ptCount val="209"/>
                <c:pt idx="0">
                  <c:v>1.4E-3</c:v>
                </c:pt>
                <c:pt idx="1">
                  <c:v>1.5E-3</c:v>
                </c:pt>
                <c:pt idx="2">
                  <c:v>1.6000000000000001E-3</c:v>
                </c:pt>
                <c:pt idx="3">
                  <c:v>1.6999999999999999E-3</c:v>
                </c:pt>
                <c:pt idx="4">
                  <c:v>1.8E-3</c:v>
                </c:pt>
                <c:pt idx="5">
                  <c:v>2E-3</c:v>
                </c:pt>
                <c:pt idx="6">
                  <c:v>2.2499999999999998E-3</c:v>
                </c:pt>
                <c:pt idx="7">
                  <c:v>2.5000000000000001E-3</c:v>
                </c:pt>
                <c:pt idx="8">
                  <c:v>2.7499999999999998E-3</c:v>
                </c:pt>
                <c:pt idx="9">
                  <c:v>3.0000000000000001E-3</c:v>
                </c:pt>
                <c:pt idx="10">
                  <c:v>3.2499999999999999E-3</c:v>
                </c:pt>
                <c:pt idx="11">
                  <c:v>3.5000000000000001E-3</c:v>
                </c:pt>
                <c:pt idx="12">
                  <c:v>3.7499999999999999E-3</c:v>
                </c:pt>
                <c:pt idx="13">
                  <c:v>4.0000000000000001E-3</c:v>
                </c:pt>
                <c:pt idx="14">
                  <c:v>4.4999999999999997E-3</c:v>
                </c:pt>
                <c:pt idx="15">
                  <c:v>5.0000000000000001E-3</c:v>
                </c:pt>
                <c:pt idx="16">
                  <c:v>5.4999999999999997E-3</c:v>
                </c:pt>
                <c:pt idx="17">
                  <c:v>6.0000000000000001E-3</c:v>
                </c:pt>
                <c:pt idx="18">
                  <c:v>6.4999999999999997E-3</c:v>
                </c:pt>
                <c:pt idx="19">
                  <c:v>7.0000000000000001E-3</c:v>
                </c:pt>
                <c:pt idx="20">
                  <c:v>8.0000000000000002E-3</c:v>
                </c:pt>
                <c:pt idx="21">
                  <c:v>8.9999999999999993E-3</c:v>
                </c:pt>
                <c:pt idx="22">
                  <c:v>0.01</c:v>
                </c:pt>
                <c:pt idx="23">
                  <c:v>1.0999999999999999E-2</c:v>
                </c:pt>
                <c:pt idx="24">
                  <c:v>1.2E-2</c:v>
                </c:pt>
                <c:pt idx="25">
                  <c:v>1.2999999999999999E-2</c:v>
                </c:pt>
                <c:pt idx="26">
                  <c:v>1.4E-2</c:v>
                </c:pt>
                <c:pt idx="27">
                  <c:v>1.4999999999999999E-2</c:v>
                </c:pt>
                <c:pt idx="28">
                  <c:v>1.6E-2</c:v>
                </c:pt>
                <c:pt idx="29">
                  <c:v>1.7000000000000001E-2</c:v>
                </c:pt>
                <c:pt idx="30">
                  <c:v>1.7999999999999999E-2</c:v>
                </c:pt>
                <c:pt idx="31">
                  <c:v>0.02</c:v>
                </c:pt>
                <c:pt idx="32">
                  <c:v>2.2499999999999999E-2</c:v>
                </c:pt>
                <c:pt idx="33">
                  <c:v>2.5000000000000001E-2</c:v>
                </c:pt>
                <c:pt idx="34">
                  <c:v>2.75E-2</c:v>
                </c:pt>
                <c:pt idx="35">
                  <c:v>0.03</c:v>
                </c:pt>
                <c:pt idx="36">
                  <c:v>3.2500000000000001E-2</c:v>
                </c:pt>
                <c:pt idx="37">
                  <c:v>3.5000000000000003E-2</c:v>
                </c:pt>
                <c:pt idx="38">
                  <c:v>3.7499999999999999E-2</c:v>
                </c:pt>
                <c:pt idx="39">
                  <c:v>0.04</c:v>
                </c:pt>
                <c:pt idx="40">
                  <c:v>4.4999999999999998E-2</c:v>
                </c:pt>
                <c:pt idx="41">
                  <c:v>0.05</c:v>
                </c:pt>
                <c:pt idx="42">
                  <c:v>5.5E-2</c:v>
                </c:pt>
                <c:pt idx="43">
                  <c:v>0.06</c:v>
                </c:pt>
                <c:pt idx="44">
                  <c:v>6.5000000000000002E-2</c:v>
                </c:pt>
                <c:pt idx="45">
                  <c:v>7.0000000000000007E-2</c:v>
                </c:pt>
                <c:pt idx="46">
                  <c:v>0.08</c:v>
                </c:pt>
                <c:pt idx="47">
                  <c:v>0.09</c:v>
                </c:pt>
                <c:pt idx="48">
                  <c:v>0.1</c:v>
                </c:pt>
                <c:pt idx="49">
                  <c:v>0.11</c:v>
                </c:pt>
                <c:pt idx="50">
                  <c:v>0.12</c:v>
                </c:pt>
                <c:pt idx="51">
                  <c:v>0.13</c:v>
                </c:pt>
                <c:pt idx="52">
                  <c:v>0.14000000000000001</c:v>
                </c:pt>
                <c:pt idx="53">
                  <c:v>0.15</c:v>
                </c:pt>
                <c:pt idx="54">
                  <c:v>0.16</c:v>
                </c:pt>
                <c:pt idx="55">
                  <c:v>0.17</c:v>
                </c:pt>
                <c:pt idx="56">
                  <c:v>0.18</c:v>
                </c:pt>
                <c:pt idx="57">
                  <c:v>0.2</c:v>
                </c:pt>
                <c:pt idx="58">
                  <c:v>0.22500000000000001</c:v>
                </c:pt>
                <c:pt idx="59">
                  <c:v>0.25</c:v>
                </c:pt>
                <c:pt idx="60">
                  <c:v>0.27500000000000002</c:v>
                </c:pt>
                <c:pt idx="61">
                  <c:v>0.3</c:v>
                </c:pt>
                <c:pt idx="62">
                  <c:v>0.32500000000000001</c:v>
                </c:pt>
                <c:pt idx="63">
                  <c:v>0.35</c:v>
                </c:pt>
                <c:pt idx="64">
                  <c:v>0.375</c:v>
                </c:pt>
                <c:pt idx="65">
                  <c:v>0.4</c:v>
                </c:pt>
                <c:pt idx="66">
                  <c:v>0.45</c:v>
                </c:pt>
                <c:pt idx="67">
                  <c:v>0.5</c:v>
                </c:pt>
                <c:pt idx="68">
                  <c:v>0.55000000000000004</c:v>
                </c:pt>
                <c:pt idx="69">
                  <c:v>0.6</c:v>
                </c:pt>
                <c:pt idx="70">
                  <c:v>0.65</c:v>
                </c:pt>
                <c:pt idx="71">
                  <c:v>0.7</c:v>
                </c:pt>
                <c:pt idx="72">
                  <c:v>0.8</c:v>
                </c:pt>
                <c:pt idx="73">
                  <c:v>0.9</c:v>
                </c:pt>
                <c:pt idx="74">
                  <c:v>1</c:v>
                </c:pt>
                <c:pt idx="75">
                  <c:v>1.1000000000000001</c:v>
                </c:pt>
                <c:pt idx="76">
                  <c:v>1.2</c:v>
                </c:pt>
                <c:pt idx="77">
                  <c:v>1.3</c:v>
                </c:pt>
                <c:pt idx="78">
                  <c:v>1.4</c:v>
                </c:pt>
                <c:pt idx="79">
                  <c:v>1.5</c:v>
                </c:pt>
                <c:pt idx="80">
                  <c:v>1.6</c:v>
                </c:pt>
                <c:pt idx="81">
                  <c:v>1.7</c:v>
                </c:pt>
                <c:pt idx="82">
                  <c:v>1.8</c:v>
                </c:pt>
                <c:pt idx="83">
                  <c:v>2</c:v>
                </c:pt>
                <c:pt idx="84">
                  <c:v>2.25</c:v>
                </c:pt>
                <c:pt idx="85">
                  <c:v>2.5</c:v>
                </c:pt>
                <c:pt idx="86">
                  <c:v>2.75</c:v>
                </c:pt>
                <c:pt idx="87">
                  <c:v>3</c:v>
                </c:pt>
                <c:pt idx="88">
                  <c:v>3.25</c:v>
                </c:pt>
                <c:pt idx="89">
                  <c:v>3.5</c:v>
                </c:pt>
                <c:pt idx="90">
                  <c:v>3.75</c:v>
                </c:pt>
                <c:pt idx="91">
                  <c:v>4</c:v>
                </c:pt>
                <c:pt idx="92">
                  <c:v>4.5</c:v>
                </c:pt>
                <c:pt idx="93">
                  <c:v>5</c:v>
                </c:pt>
                <c:pt idx="94">
                  <c:v>5.5</c:v>
                </c:pt>
                <c:pt idx="95">
                  <c:v>6</c:v>
                </c:pt>
                <c:pt idx="96">
                  <c:v>6.5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13</c:v>
                </c:pt>
                <c:pt idx="104">
                  <c:v>14</c:v>
                </c:pt>
                <c:pt idx="105">
                  <c:v>15</c:v>
                </c:pt>
                <c:pt idx="106">
                  <c:v>16</c:v>
                </c:pt>
                <c:pt idx="107">
                  <c:v>17</c:v>
                </c:pt>
                <c:pt idx="108">
                  <c:v>18</c:v>
                </c:pt>
                <c:pt idx="109">
                  <c:v>20</c:v>
                </c:pt>
                <c:pt idx="110">
                  <c:v>22.5</c:v>
                </c:pt>
                <c:pt idx="111">
                  <c:v>25</c:v>
                </c:pt>
                <c:pt idx="112">
                  <c:v>27.5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7B5-47B7-A394-65373099B632}"/>
            </c:ext>
          </c:extLst>
        </c:ser>
        <c:ser>
          <c:idx val="3"/>
          <c:order val="2"/>
          <c:tx>
            <c:v>ws2 dEt2</c:v>
          </c:tx>
          <c:spPr>
            <a:ln w="12700">
              <a:solidFill>
                <a:srgbClr val="0000FF"/>
              </a:solidFill>
            </a:ln>
          </c:spPr>
          <c:marker>
            <c:symbol val="triangle"/>
            <c:size val="3"/>
            <c:spPr>
              <a:noFill/>
              <a:ln>
                <a:solidFill>
                  <a:srgbClr val="0000FF"/>
                </a:solidFill>
              </a:ln>
            </c:spPr>
          </c:marker>
          <c:xVal>
            <c:numRef>
              <c:f>'dbg33'!$AB$11:$AB$219</c:f>
              <c:numCache>
                <c:formatCode>0.00000_ </c:formatCode>
                <c:ptCount val="209"/>
                <c:pt idx="0">
                  <c:v>9.9999750000000008E-6</c:v>
                </c:pt>
                <c:pt idx="1">
                  <c:v>1.1249975000000001E-5</c:v>
                </c:pt>
                <c:pt idx="2">
                  <c:v>1.2499975000000001E-5</c:v>
                </c:pt>
                <c:pt idx="3">
                  <c:v>1.3749975E-5</c:v>
                </c:pt>
                <c:pt idx="4">
                  <c:v>1.4999975E-5</c:v>
                </c:pt>
                <c:pt idx="5">
                  <c:v>1.6249975E-5</c:v>
                </c:pt>
                <c:pt idx="6">
                  <c:v>1.7499975E-5</c:v>
                </c:pt>
                <c:pt idx="7">
                  <c:v>1.9999975E-5</c:v>
                </c:pt>
                <c:pt idx="8">
                  <c:v>2.2499975000000003E-5</c:v>
                </c:pt>
                <c:pt idx="9">
                  <c:v>2.4999975000000003E-5</c:v>
                </c:pt>
                <c:pt idx="10">
                  <c:v>2.7500000000000001E-5</c:v>
                </c:pt>
                <c:pt idx="11">
                  <c:v>2.9999999999999997E-5</c:v>
                </c:pt>
                <c:pt idx="12">
                  <c:v>3.2499999999999997E-5</c:v>
                </c:pt>
                <c:pt idx="13">
                  <c:v>3.4999999999999997E-5</c:v>
                </c:pt>
                <c:pt idx="14">
                  <c:v>3.7500000000000003E-5</c:v>
                </c:pt>
                <c:pt idx="15">
                  <c:v>4.0000000000000003E-5</c:v>
                </c:pt>
                <c:pt idx="16">
                  <c:v>4.2499999999999996E-5</c:v>
                </c:pt>
                <c:pt idx="17">
                  <c:v>4.4999999999999996E-5</c:v>
                </c:pt>
                <c:pt idx="18">
                  <c:v>5.0000000000000002E-5</c:v>
                </c:pt>
                <c:pt idx="19">
                  <c:v>5.6249999999999998E-5</c:v>
                </c:pt>
                <c:pt idx="20">
                  <c:v>6.2500000000000001E-5</c:v>
                </c:pt>
                <c:pt idx="21">
                  <c:v>6.8749999999999991E-5</c:v>
                </c:pt>
                <c:pt idx="22">
                  <c:v>7.5000000000000007E-5</c:v>
                </c:pt>
                <c:pt idx="23">
                  <c:v>8.1249999999999996E-5</c:v>
                </c:pt>
                <c:pt idx="24">
                  <c:v>8.7499999999999999E-5</c:v>
                </c:pt>
                <c:pt idx="25">
                  <c:v>9.3750000000000002E-5</c:v>
                </c:pt>
                <c:pt idx="26">
                  <c:v>1E-4</c:v>
                </c:pt>
                <c:pt idx="27">
                  <c:v>1.125E-4</c:v>
                </c:pt>
                <c:pt idx="28">
                  <c:v>1.25E-4</c:v>
                </c:pt>
                <c:pt idx="29">
                  <c:v>1.3749999999999998E-4</c:v>
                </c:pt>
                <c:pt idx="30">
                  <c:v>1.5000000000000001E-4</c:v>
                </c:pt>
                <c:pt idx="31">
                  <c:v>1.6249999999999999E-4</c:v>
                </c:pt>
                <c:pt idx="32">
                  <c:v>1.75E-4</c:v>
                </c:pt>
                <c:pt idx="33">
                  <c:v>2.0000000000000001E-4</c:v>
                </c:pt>
                <c:pt idx="34">
                  <c:v>2.2499999999999999E-4</c:v>
                </c:pt>
                <c:pt idx="35">
                  <c:v>2.5000000000000001E-4</c:v>
                </c:pt>
                <c:pt idx="36">
                  <c:v>2.7499999999999996E-4</c:v>
                </c:pt>
                <c:pt idx="37">
                  <c:v>3.0000000000000003E-4</c:v>
                </c:pt>
                <c:pt idx="38">
                  <c:v>3.2499999999999999E-4</c:v>
                </c:pt>
                <c:pt idx="39">
                  <c:v>3.5E-4</c:v>
                </c:pt>
                <c:pt idx="40">
                  <c:v>3.7500000000000001E-4</c:v>
                </c:pt>
                <c:pt idx="41">
                  <c:v>4.0000000000000002E-4</c:v>
                </c:pt>
                <c:pt idx="42">
                  <c:v>4.2500000000000003E-4</c:v>
                </c:pt>
                <c:pt idx="43">
                  <c:v>4.4999999999999999E-4</c:v>
                </c:pt>
                <c:pt idx="44">
                  <c:v>5.0000000000000001E-4</c:v>
                </c:pt>
                <c:pt idx="45">
                  <c:v>5.6249999999999996E-4</c:v>
                </c:pt>
                <c:pt idx="46">
                  <c:v>6.2500000000000001E-4</c:v>
                </c:pt>
                <c:pt idx="47">
                  <c:v>6.8749999999999996E-4</c:v>
                </c:pt>
                <c:pt idx="48">
                  <c:v>7.5000000000000002E-4</c:v>
                </c:pt>
                <c:pt idx="49">
                  <c:v>8.1250000000000007E-4</c:v>
                </c:pt>
                <c:pt idx="50">
                  <c:v>8.7500000000000013E-4</c:v>
                </c:pt>
                <c:pt idx="51">
                  <c:v>9.3749999999999997E-4</c:v>
                </c:pt>
                <c:pt idx="52">
                  <c:v>1E-3</c:v>
                </c:pt>
                <c:pt idx="53">
                  <c:v>1.1249999999999999E-3</c:v>
                </c:pt>
                <c:pt idx="54">
                  <c:v>1.25E-3</c:v>
                </c:pt>
                <c:pt idx="55">
                  <c:v>1.3749999999999999E-3</c:v>
                </c:pt>
                <c:pt idx="56">
                  <c:v>1.5E-3</c:v>
                </c:pt>
                <c:pt idx="57">
                  <c:v>1.6250000000000001E-3</c:v>
                </c:pt>
                <c:pt idx="58">
                  <c:v>1.7500000000000003E-3</c:v>
                </c:pt>
                <c:pt idx="59">
                  <c:v>2E-3</c:v>
                </c:pt>
                <c:pt idx="60">
                  <c:v>2.2499999999999998E-3</c:v>
                </c:pt>
                <c:pt idx="61">
                  <c:v>2.5000000000000001E-3</c:v>
                </c:pt>
                <c:pt idx="62">
                  <c:v>2.7499999999999998E-3</c:v>
                </c:pt>
                <c:pt idx="63">
                  <c:v>3.0000000000000001E-3</c:v>
                </c:pt>
                <c:pt idx="64">
                  <c:v>3.2500000000000003E-3</c:v>
                </c:pt>
                <c:pt idx="65">
                  <c:v>3.5000000000000005E-3</c:v>
                </c:pt>
                <c:pt idx="66">
                  <c:v>3.7499999999999999E-3</c:v>
                </c:pt>
                <c:pt idx="67">
                  <c:v>4.0000000000000001E-3</c:v>
                </c:pt>
                <c:pt idx="68">
                  <c:v>4.2500000000000003E-3</c:v>
                </c:pt>
                <c:pt idx="69">
                  <c:v>4.4999999999999997E-3</c:v>
                </c:pt>
                <c:pt idx="70">
                  <c:v>5.0000000000000001E-3</c:v>
                </c:pt>
                <c:pt idx="71">
                  <c:v>5.6249999999999998E-3</c:v>
                </c:pt>
                <c:pt idx="72">
                  <c:v>6.2500000000000003E-3</c:v>
                </c:pt>
                <c:pt idx="73">
                  <c:v>6.8750000000000009E-3</c:v>
                </c:pt>
                <c:pt idx="74">
                  <c:v>7.4999999999999997E-3</c:v>
                </c:pt>
                <c:pt idx="75">
                  <c:v>8.1250000000000003E-3</c:v>
                </c:pt>
                <c:pt idx="76">
                  <c:v>8.7499999999999991E-3</c:v>
                </c:pt>
                <c:pt idx="77">
                  <c:v>9.3749999999999997E-3</c:v>
                </c:pt>
                <c:pt idx="78">
                  <c:v>0.01</c:v>
                </c:pt>
                <c:pt idx="79">
                  <c:v>1.125E-2</c:v>
                </c:pt>
                <c:pt idx="80">
                  <c:v>1.2500000000000001E-2</c:v>
                </c:pt>
                <c:pt idx="81">
                  <c:v>1.3750000000000002E-2</c:v>
                </c:pt>
                <c:pt idx="82">
                  <c:v>1.4999999999999999E-2</c:v>
                </c:pt>
                <c:pt idx="83">
                  <c:v>1.6250000000000001E-2</c:v>
                </c:pt>
                <c:pt idx="84">
                  <c:v>1.7499999999999998E-2</c:v>
                </c:pt>
                <c:pt idx="85">
                  <c:v>0.02</c:v>
                </c:pt>
                <c:pt idx="86">
                  <c:v>2.2499999999999999E-2</c:v>
                </c:pt>
                <c:pt idx="87">
                  <c:v>2.5000000000000001E-2</c:v>
                </c:pt>
                <c:pt idx="88">
                  <c:v>2.7500000000000004E-2</c:v>
                </c:pt>
                <c:pt idx="89">
                  <c:v>0.03</c:v>
                </c:pt>
                <c:pt idx="90">
                  <c:v>3.2500000000000001E-2</c:v>
                </c:pt>
                <c:pt idx="91">
                  <c:v>3.4999999999999996E-2</c:v>
                </c:pt>
                <c:pt idx="92">
                  <c:v>3.7499999999999999E-2</c:v>
                </c:pt>
                <c:pt idx="93">
                  <c:v>0.04</c:v>
                </c:pt>
                <c:pt idx="94">
                  <c:v>4.2499999999999996E-2</c:v>
                </c:pt>
                <c:pt idx="95">
                  <c:v>4.4999999999999998E-2</c:v>
                </c:pt>
                <c:pt idx="96">
                  <c:v>0.05</c:v>
                </c:pt>
                <c:pt idx="97">
                  <c:v>5.6250000000000001E-2</c:v>
                </c:pt>
                <c:pt idx="98">
                  <c:v>6.25E-2</c:v>
                </c:pt>
                <c:pt idx="99">
                  <c:v>6.8750000000000006E-2</c:v>
                </c:pt>
                <c:pt idx="100">
                  <c:v>7.4999999999999997E-2</c:v>
                </c:pt>
                <c:pt idx="101">
                  <c:v>8.1250000000000003E-2</c:v>
                </c:pt>
                <c:pt idx="102">
                  <c:v>8.7499999999999994E-2</c:v>
                </c:pt>
                <c:pt idx="103">
                  <c:v>9.375E-2</c:v>
                </c:pt>
                <c:pt idx="104">
                  <c:v>0.1</c:v>
                </c:pt>
                <c:pt idx="105">
                  <c:v>0.1125</c:v>
                </c:pt>
                <c:pt idx="106">
                  <c:v>0.125</c:v>
                </c:pt>
                <c:pt idx="107">
                  <c:v>0.13750000000000001</c:v>
                </c:pt>
                <c:pt idx="108">
                  <c:v>0.15</c:v>
                </c:pt>
                <c:pt idx="109">
                  <c:v>0.16250000000000001</c:v>
                </c:pt>
                <c:pt idx="110">
                  <c:v>0.17499999999999999</c:v>
                </c:pt>
                <c:pt idx="111">
                  <c:v>0.2</c:v>
                </c:pt>
                <c:pt idx="112">
                  <c:v>0.22500000000000001</c:v>
                </c:pt>
                <c:pt idx="113">
                  <c:v>0.25</c:v>
                </c:pt>
                <c:pt idx="114">
                  <c:v>0.27500000000000002</c:v>
                </c:pt>
                <c:pt idx="115">
                  <c:v>0.3</c:v>
                </c:pt>
                <c:pt idx="116">
                  <c:v>0.32500000000000001</c:v>
                </c:pt>
                <c:pt idx="117">
                  <c:v>0.35</c:v>
                </c:pt>
                <c:pt idx="118">
                  <c:v>0.375</c:v>
                </c:pt>
                <c:pt idx="119">
                  <c:v>0.4</c:v>
                </c:pt>
                <c:pt idx="120">
                  <c:v>0.42499999999999999</c:v>
                </c:pt>
                <c:pt idx="121">
                  <c:v>0.45</c:v>
                </c:pt>
                <c:pt idx="122">
                  <c:v>0.5</c:v>
                </c:pt>
                <c:pt idx="123">
                  <c:v>0.5625</c:v>
                </c:pt>
                <c:pt idx="124">
                  <c:v>0.625</c:v>
                </c:pt>
                <c:pt idx="125">
                  <c:v>0.6875</c:v>
                </c:pt>
                <c:pt idx="126">
                  <c:v>0.75</c:v>
                </c:pt>
                <c:pt idx="127">
                  <c:v>0.8125</c:v>
                </c:pt>
                <c:pt idx="128">
                  <c:v>0.875</c:v>
                </c:pt>
                <c:pt idx="129">
                  <c:v>0.9375</c:v>
                </c:pt>
                <c:pt idx="130" formatCode="0.000_ ">
                  <c:v>1</c:v>
                </c:pt>
                <c:pt idx="131" formatCode="0.000_ ">
                  <c:v>1.125</c:v>
                </c:pt>
                <c:pt idx="132" formatCode="0.000_ ">
                  <c:v>1.25</c:v>
                </c:pt>
                <c:pt idx="133" formatCode="0.000_ ">
                  <c:v>1.375</c:v>
                </c:pt>
                <c:pt idx="134" formatCode="0.000_ ">
                  <c:v>1.5</c:v>
                </c:pt>
                <c:pt idx="135" formatCode="0.000_ ">
                  <c:v>1.625</c:v>
                </c:pt>
                <c:pt idx="136" formatCode="0.000_ ">
                  <c:v>1.75</c:v>
                </c:pt>
                <c:pt idx="137" formatCode="0.000_ ">
                  <c:v>2</c:v>
                </c:pt>
                <c:pt idx="138" formatCode="0.000_ ">
                  <c:v>2.25</c:v>
                </c:pt>
                <c:pt idx="139" formatCode="0.000_ ">
                  <c:v>2.5</c:v>
                </c:pt>
                <c:pt idx="140" formatCode="0.000_ ">
                  <c:v>2.75</c:v>
                </c:pt>
                <c:pt idx="141" formatCode="0.000_ ">
                  <c:v>3</c:v>
                </c:pt>
                <c:pt idx="142" formatCode="0.000_ ">
                  <c:v>3.25</c:v>
                </c:pt>
                <c:pt idx="143" formatCode="0.000_ ">
                  <c:v>3.5</c:v>
                </c:pt>
                <c:pt idx="144" formatCode="0.000_ ">
                  <c:v>3.75</c:v>
                </c:pt>
                <c:pt idx="145" formatCode="0.000_ ">
                  <c:v>4</c:v>
                </c:pt>
                <c:pt idx="146" formatCode="0.000_ ">
                  <c:v>4.25</c:v>
                </c:pt>
                <c:pt idx="147" formatCode="0.000_ ">
                  <c:v>4.5</c:v>
                </c:pt>
                <c:pt idx="148" formatCode="0.000_ ">
                  <c:v>5</c:v>
                </c:pt>
                <c:pt idx="149" formatCode="0.000_ ">
                  <c:v>5.625</c:v>
                </c:pt>
                <c:pt idx="150" formatCode="0.000_ ">
                  <c:v>6.25</c:v>
                </c:pt>
                <c:pt idx="151" formatCode="0.000_ ">
                  <c:v>6.875</c:v>
                </c:pt>
                <c:pt idx="152" formatCode="0.000_ ">
                  <c:v>7.5</c:v>
                </c:pt>
                <c:pt idx="153" formatCode="0.000_ ">
                  <c:v>8.125</c:v>
                </c:pt>
                <c:pt idx="154" formatCode="0.000_ ">
                  <c:v>8.75</c:v>
                </c:pt>
                <c:pt idx="155" formatCode="0.000_ ">
                  <c:v>9.375</c:v>
                </c:pt>
                <c:pt idx="156" formatCode="0.000_ ">
                  <c:v>10</c:v>
                </c:pt>
                <c:pt idx="157" formatCode="0.000_ ">
                  <c:v>11.25</c:v>
                </c:pt>
                <c:pt idx="158" formatCode="0.000_ ">
                  <c:v>12.5</c:v>
                </c:pt>
                <c:pt idx="159" formatCode="0.000_ ">
                  <c:v>13.75</c:v>
                </c:pt>
                <c:pt idx="160" formatCode="0.000_ ">
                  <c:v>15</c:v>
                </c:pt>
                <c:pt idx="161" formatCode="0.000_ ">
                  <c:v>16.25</c:v>
                </c:pt>
                <c:pt idx="162" formatCode="0.000_ ">
                  <c:v>17.5</c:v>
                </c:pt>
                <c:pt idx="163" formatCode="0.000_ ">
                  <c:v>20</c:v>
                </c:pt>
                <c:pt idx="164" formatCode="0.000_ ">
                  <c:v>22.5</c:v>
                </c:pt>
                <c:pt idx="165" formatCode="0.000_ ">
                  <c:v>25</c:v>
                </c:pt>
                <c:pt idx="166" formatCode="0.000_ ">
                  <c:v>27.5</c:v>
                </c:pt>
                <c:pt idx="167" formatCode="0.000_ ">
                  <c:v>30</c:v>
                </c:pt>
                <c:pt idx="168" formatCode="0.000_ ">
                  <c:v>32.5</c:v>
                </c:pt>
                <c:pt idx="169" formatCode="0.000_ ">
                  <c:v>35</c:v>
                </c:pt>
                <c:pt idx="170" formatCode="0.000_ ">
                  <c:v>37.5</c:v>
                </c:pt>
                <c:pt idx="171" formatCode="0.000_ ">
                  <c:v>40</c:v>
                </c:pt>
                <c:pt idx="172" formatCode="0.000_ ">
                  <c:v>42.5</c:v>
                </c:pt>
                <c:pt idx="173" formatCode="0.000_ ">
                  <c:v>45</c:v>
                </c:pt>
                <c:pt idx="174" formatCode="0.000_ ">
                  <c:v>50</c:v>
                </c:pt>
                <c:pt idx="175" formatCode="0.000_ ">
                  <c:v>56.25</c:v>
                </c:pt>
                <c:pt idx="176" formatCode="0.000_ ">
                  <c:v>62.5</c:v>
                </c:pt>
                <c:pt idx="177" formatCode="0.000_ ">
                  <c:v>68.75</c:v>
                </c:pt>
                <c:pt idx="178" formatCode="0.000_ ">
                  <c:v>75</c:v>
                </c:pt>
                <c:pt idx="179" formatCode="0.000_ ">
                  <c:v>81.25</c:v>
                </c:pt>
                <c:pt idx="180" formatCode="0.000_ ">
                  <c:v>87.5</c:v>
                </c:pt>
                <c:pt idx="181" formatCode="0.000_ ">
                  <c:v>93.75</c:v>
                </c:pt>
                <c:pt idx="182" formatCode="0.00_ ">
                  <c:v>100</c:v>
                </c:pt>
                <c:pt idx="183" formatCode="0.00_ ">
                  <c:v>112.5</c:v>
                </c:pt>
                <c:pt idx="184" formatCode="0.00_ ">
                  <c:v>125</c:v>
                </c:pt>
                <c:pt idx="185" formatCode="0.00_ ">
                  <c:v>137.5</c:v>
                </c:pt>
                <c:pt idx="186" formatCode="0.00_ ">
                  <c:v>150</c:v>
                </c:pt>
                <c:pt idx="187" formatCode="0.00_ ">
                  <c:v>162.5</c:v>
                </c:pt>
                <c:pt idx="188" formatCode="0.00_ ">
                  <c:v>175</c:v>
                </c:pt>
                <c:pt idx="189" formatCode="0.00_ ">
                  <c:v>200</c:v>
                </c:pt>
                <c:pt idx="190" formatCode="0.00_ ">
                  <c:v>225</c:v>
                </c:pt>
                <c:pt idx="191" formatCode="0.00_ ">
                  <c:v>250</c:v>
                </c:pt>
                <c:pt idx="192" formatCode="0.00_ ">
                  <c:v>275</c:v>
                </c:pt>
                <c:pt idx="193" formatCode="0.00_ ">
                  <c:v>300</c:v>
                </c:pt>
                <c:pt idx="194" formatCode="0.00_ ">
                  <c:v>325</c:v>
                </c:pt>
                <c:pt idx="195" formatCode="0.00_ ">
                  <c:v>350</c:v>
                </c:pt>
                <c:pt idx="196" formatCode="0.00_ ">
                  <c:v>375</c:v>
                </c:pt>
                <c:pt idx="197" formatCode="0.00_ ">
                  <c:v>400</c:v>
                </c:pt>
                <c:pt idx="198" formatCode="0.00_ ">
                  <c:v>425</c:v>
                </c:pt>
                <c:pt idx="199" formatCode="0.00_ ">
                  <c:v>450</c:v>
                </c:pt>
                <c:pt idx="200" formatCode="0.00_ ">
                  <c:v>500</c:v>
                </c:pt>
                <c:pt idx="201" formatCode="0.00_ ">
                  <c:v>562.5</c:v>
                </c:pt>
                <c:pt idx="202" formatCode="0.00_ ">
                  <c:v>625</c:v>
                </c:pt>
                <c:pt idx="203" formatCode="0.00_ ">
                  <c:v>687.5</c:v>
                </c:pt>
                <c:pt idx="204" formatCode="0.00_ ">
                  <c:v>750</c:v>
                </c:pt>
                <c:pt idx="205" formatCode="0.00_ ">
                  <c:v>812.5</c:v>
                </c:pt>
                <c:pt idx="206" formatCode="0.00_ ">
                  <c:v>875</c:v>
                </c:pt>
                <c:pt idx="207" formatCode="0.00_ ">
                  <c:v>937.5</c:v>
                </c:pt>
                <c:pt idx="208" formatCode="0.00_ ">
                  <c:v>1000</c:v>
                </c:pt>
              </c:numCache>
            </c:numRef>
          </c:xVal>
          <c:yVal>
            <c:numRef>
              <c:f>'dbg33'!$AH$11:$AH$219</c:f>
              <c:numCache>
                <c:formatCode>0.000_ </c:formatCode>
                <c:ptCount val="20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11.979563103819824</c:v>
                </c:pt>
                <c:pt idx="116">
                  <c:v>12.771369340244325</c:v>
                </c:pt>
                <c:pt idx="117">
                  <c:v>13.567850220372755</c:v>
                </c:pt>
                <c:pt idx="118">
                  <c:v>14.365171140589874</c:v>
                </c:pt>
                <c:pt idx="119">
                  <c:v>15.14831753316361</c:v>
                </c:pt>
                <c:pt idx="120">
                  <c:v>15.923317533163605</c:v>
                </c:pt>
                <c:pt idx="121">
                  <c:v>16.683791466472695</c:v>
                </c:pt>
                <c:pt idx="122">
                  <c:v>18.182544656201362</c:v>
                </c:pt>
                <c:pt idx="123">
                  <c:v>19.988248197279418</c:v>
                </c:pt>
                <c:pt idx="124">
                  <c:v>21.684695888606011</c:v>
                </c:pt>
                <c:pt idx="125">
                  <c:v>23.234135066327216</c:v>
                </c:pt>
                <c:pt idx="126">
                  <c:v>24.610440075802529</c:v>
                </c:pt>
                <c:pt idx="127">
                  <c:v>25.763050094753162</c:v>
                </c:pt>
                <c:pt idx="128">
                  <c:v>26.675123517152706</c:v>
                </c:pt>
                <c:pt idx="129">
                  <c:v>27.326923935861362</c:v>
                </c:pt>
                <c:pt idx="130">
                  <c:v>27.756073823846769</c:v>
                </c:pt>
                <c:pt idx="131">
                  <c:v>28.106594437319352</c:v>
                </c:pt>
                <c:pt idx="132">
                  <c:v>28.027702538874323</c:v>
                </c:pt>
                <c:pt idx="133">
                  <c:v>27.702735099583649</c:v>
                </c:pt>
                <c:pt idx="134">
                  <c:v>27.220807388740283</c:v>
                </c:pt>
                <c:pt idx="135">
                  <c:v>26.718178729350516</c:v>
                </c:pt>
                <c:pt idx="136">
                  <c:v>26.139141332534628</c:v>
                </c:pt>
                <c:pt idx="137">
                  <c:v>24.992563682491085</c:v>
                </c:pt>
                <c:pt idx="138">
                  <c:v>24.014042468417394</c:v>
                </c:pt>
                <c:pt idx="139">
                  <c:v>23.206447437176791</c:v>
                </c:pt>
                <c:pt idx="140">
                  <c:v>22.43111455985515</c:v>
                </c:pt>
                <c:pt idx="141">
                  <c:v>21.74833666601387</c:v>
                </c:pt>
                <c:pt idx="142">
                  <c:v>21.112606184293181</c:v>
                </c:pt>
                <c:pt idx="143">
                  <c:v>20.53811349900629</c:v>
                </c:pt>
                <c:pt idx="144">
                  <c:v>20.016097033175733</c:v>
                </c:pt>
                <c:pt idx="145">
                  <c:v>19.533140572456542</c:v>
                </c:pt>
                <c:pt idx="146">
                  <c:v>19.113336174306905</c:v>
                </c:pt>
                <c:pt idx="147">
                  <c:v>18.709453921810777</c:v>
                </c:pt>
                <c:pt idx="148">
                  <c:v>17.973895239393265</c:v>
                </c:pt>
                <c:pt idx="149">
                  <c:v>17.203116885149221</c:v>
                </c:pt>
                <c:pt idx="150">
                  <c:v>16.446804000456687</c:v>
                </c:pt>
                <c:pt idx="151">
                  <c:v>15.743667423282872</c:v>
                </c:pt>
                <c:pt idx="152">
                  <c:v>15.107865469650292</c:v>
                </c:pt>
                <c:pt idx="153">
                  <c:v>14.503550850864251</c:v>
                </c:pt>
                <c:pt idx="154">
                  <c:v>13.945721971984852</c:v>
                </c:pt>
                <c:pt idx="155">
                  <c:v>13.421566134769023</c:v>
                </c:pt>
                <c:pt idx="156">
                  <c:v>12.928288608148364</c:v>
                </c:pt>
                <c:pt idx="157">
                  <c:v>12.240077970737175</c:v>
                </c:pt>
                <c:pt idx="158">
                  <c:v>11.415970032770346</c:v>
                </c:pt>
                <c:pt idx="159">
                  <c:v>10.681291698461095</c:v>
                </c:pt>
                <c:pt idx="160">
                  <c:v>10.0226536817582</c:v>
                </c:pt>
                <c:pt idx="161">
                  <c:v>9.438634414358944</c:v>
                </c:pt>
                <c:pt idx="162">
                  <c:v>8.9206170070606561</c:v>
                </c:pt>
                <c:pt idx="163">
                  <c:v>8.2565318383795727</c:v>
                </c:pt>
                <c:pt idx="164">
                  <c:v>7.528596113290007</c:v>
                </c:pt>
                <c:pt idx="165">
                  <c:v>6.9620471553517405</c:v>
                </c:pt>
                <c:pt idx="166">
                  <c:v>6.5462871002442569</c:v>
                </c:pt>
                <c:pt idx="167">
                  <c:v>6.2848720353746046</c:v>
                </c:pt>
                <c:pt idx="168">
                  <c:v>5.892067533163754</c:v>
                </c:pt>
                <c:pt idx="169">
                  <c:v>5.5454753253303579</c:v>
                </c:pt>
                <c:pt idx="170">
                  <c:v>5.2373933628120994</c:v>
                </c:pt>
                <c:pt idx="171">
                  <c:v>4.9617410805589657</c:v>
                </c:pt>
                <c:pt idx="172">
                  <c:v>4.9617410805589657</c:v>
                </c:pt>
                <c:pt idx="173">
                  <c:v>4.4891943109817589</c:v>
                </c:pt>
                <c:pt idx="174">
                  <c:v>4.2851400241190163</c:v>
                </c:pt>
                <c:pt idx="175">
                  <c:v>3.9946220563820134</c:v>
                </c:pt>
                <c:pt idx="176">
                  <c:v>3.6258877127161782</c:v>
                </c:pt>
                <c:pt idx="177">
                  <c:v>3.366895733236106</c:v>
                </c:pt>
                <c:pt idx="178">
                  <c:v>3.1424360176873734</c:v>
                </c:pt>
                <c:pt idx="179">
                  <c:v>2.946033766581877</c:v>
                </c:pt>
                <c:pt idx="180">
                  <c:v>2.7727376626648947</c:v>
                </c:pt>
                <c:pt idx="181">
                  <c:v>2.6481202396240633</c:v>
                </c:pt>
                <c:pt idx="182">
                  <c:v>2.5072627800693681</c:v>
                </c:pt>
                <c:pt idx="183">
                  <c:v>2.3334920923417712</c:v>
                </c:pt>
                <c:pt idx="184">
                  <c:v>2.1622266176746052</c:v>
                </c:pt>
                <c:pt idx="185">
                  <c:v>2.0058102240557218</c:v>
                </c:pt>
                <c:pt idx="186">
                  <c:v>1.8854616106125377</c:v>
                </c:pt>
                <c:pt idx="187">
                  <c:v>1.7787373685018792</c:v>
                </c:pt>
                <c:pt idx="188">
                  <c:v>1.683447866618053</c:v>
                </c:pt>
                <c:pt idx="189">
                  <c:v>1.5738410773053602</c:v>
                </c:pt>
                <c:pt idx="190">
                  <c:v>1.4525898386841618</c:v>
                </c:pt>
                <c:pt idx="191">
                  <c:v>1.3544982834855546</c:v>
                </c:pt>
                <c:pt idx="192">
                  <c:v>1.2739605477099758</c:v>
                </c:pt>
                <c:pt idx="193">
                  <c:v>1.2101807513568019</c:v>
                </c:pt>
                <c:pt idx="194">
                  <c:v>1.1553073594427588</c:v>
                </c:pt>
                <c:pt idx="195">
                  <c:v>1.1077917806187543</c:v>
                </c:pt>
                <c:pt idx="196">
                  <c:v>1.0664375625628963</c:v>
                </c:pt>
                <c:pt idx="197">
                  <c:v>1.0325638612334842</c:v>
                </c:pt>
                <c:pt idx="198">
                  <c:v>1.0018393255109004</c:v>
                </c:pt>
                <c:pt idx="199">
                  <c:v>0.97490259080359465</c:v>
                </c:pt>
                <c:pt idx="200">
                  <c:v>0.93991107208921676</c:v>
                </c:pt>
                <c:pt idx="201">
                  <c:v>0.89749695859609346</c:v>
                </c:pt>
                <c:pt idx="202">
                  <c:v>0.86015584425695124</c:v>
                </c:pt>
                <c:pt idx="203">
                  <c:v>0.83016097684776469</c:v>
                </c:pt>
                <c:pt idx="204">
                  <c:v>0.80602839031143958</c:v>
                </c:pt>
                <c:pt idx="205">
                  <c:v>0.78665788159923977</c:v>
                </c:pt>
                <c:pt idx="206">
                  <c:v>0.77045668952905544</c:v>
                </c:pt>
                <c:pt idx="207">
                  <c:v>0.75709187705342629</c:v>
                </c:pt>
                <c:pt idx="208">
                  <c:v>0.74583133331088902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7B5-47B7-A394-65373099B632}"/>
            </c:ext>
          </c:extLst>
        </c:ser>
        <c:ser>
          <c:idx val="4"/>
          <c:order val="3"/>
          <c:tx>
            <c:v>ws2 dEt2 stop</c:v>
          </c:tx>
          <c:spPr>
            <a:ln w="12700">
              <a:solidFill>
                <a:srgbClr val="0070C0"/>
              </a:solidFill>
            </a:ln>
          </c:spPr>
          <c:marker>
            <c:symbol val="triangle"/>
            <c:size val="3"/>
            <c:spPr>
              <a:solidFill>
                <a:srgbClr val="0070C0"/>
              </a:solidFill>
              <a:ln>
                <a:noFill/>
              </a:ln>
            </c:spPr>
          </c:marker>
          <c:xVal>
            <c:numRef>
              <c:f>'dbg33'!$AB$11:$AB$219</c:f>
              <c:numCache>
                <c:formatCode>0.00000_ </c:formatCode>
                <c:ptCount val="209"/>
                <c:pt idx="0">
                  <c:v>9.9999750000000008E-6</c:v>
                </c:pt>
                <c:pt idx="1">
                  <c:v>1.1249975000000001E-5</c:v>
                </c:pt>
                <c:pt idx="2">
                  <c:v>1.2499975000000001E-5</c:v>
                </c:pt>
                <c:pt idx="3">
                  <c:v>1.3749975E-5</c:v>
                </c:pt>
                <c:pt idx="4">
                  <c:v>1.4999975E-5</c:v>
                </c:pt>
                <c:pt idx="5">
                  <c:v>1.6249975E-5</c:v>
                </c:pt>
                <c:pt idx="6">
                  <c:v>1.7499975E-5</c:v>
                </c:pt>
                <c:pt idx="7">
                  <c:v>1.9999975E-5</c:v>
                </c:pt>
                <c:pt idx="8">
                  <c:v>2.2499975000000003E-5</c:v>
                </c:pt>
                <c:pt idx="9">
                  <c:v>2.4999975000000003E-5</c:v>
                </c:pt>
                <c:pt idx="10">
                  <c:v>2.7500000000000001E-5</c:v>
                </c:pt>
                <c:pt idx="11">
                  <c:v>2.9999999999999997E-5</c:v>
                </c:pt>
                <c:pt idx="12">
                  <c:v>3.2499999999999997E-5</c:v>
                </c:pt>
                <c:pt idx="13">
                  <c:v>3.4999999999999997E-5</c:v>
                </c:pt>
                <c:pt idx="14">
                  <c:v>3.7500000000000003E-5</c:v>
                </c:pt>
                <c:pt idx="15">
                  <c:v>4.0000000000000003E-5</c:v>
                </c:pt>
                <c:pt idx="16">
                  <c:v>4.2499999999999996E-5</c:v>
                </c:pt>
                <c:pt idx="17">
                  <c:v>4.4999999999999996E-5</c:v>
                </c:pt>
                <c:pt idx="18">
                  <c:v>5.0000000000000002E-5</c:v>
                </c:pt>
                <c:pt idx="19">
                  <c:v>5.6249999999999998E-5</c:v>
                </c:pt>
                <c:pt idx="20">
                  <c:v>6.2500000000000001E-5</c:v>
                </c:pt>
                <c:pt idx="21">
                  <c:v>6.8749999999999991E-5</c:v>
                </c:pt>
                <c:pt idx="22">
                  <c:v>7.5000000000000007E-5</c:v>
                </c:pt>
                <c:pt idx="23">
                  <c:v>8.1249999999999996E-5</c:v>
                </c:pt>
                <c:pt idx="24">
                  <c:v>8.7499999999999999E-5</c:v>
                </c:pt>
                <c:pt idx="25">
                  <c:v>9.3750000000000002E-5</c:v>
                </c:pt>
                <c:pt idx="26">
                  <c:v>1E-4</c:v>
                </c:pt>
                <c:pt idx="27">
                  <c:v>1.125E-4</c:v>
                </c:pt>
                <c:pt idx="28">
                  <c:v>1.25E-4</c:v>
                </c:pt>
                <c:pt idx="29">
                  <c:v>1.3749999999999998E-4</c:v>
                </c:pt>
                <c:pt idx="30">
                  <c:v>1.5000000000000001E-4</c:v>
                </c:pt>
                <c:pt idx="31">
                  <c:v>1.6249999999999999E-4</c:v>
                </c:pt>
                <c:pt idx="32">
                  <c:v>1.75E-4</c:v>
                </c:pt>
                <c:pt idx="33">
                  <c:v>2.0000000000000001E-4</c:v>
                </c:pt>
                <c:pt idx="34">
                  <c:v>2.2499999999999999E-4</c:v>
                </c:pt>
                <c:pt idx="35">
                  <c:v>2.5000000000000001E-4</c:v>
                </c:pt>
                <c:pt idx="36">
                  <c:v>2.7499999999999996E-4</c:v>
                </c:pt>
                <c:pt idx="37">
                  <c:v>3.0000000000000003E-4</c:v>
                </c:pt>
                <c:pt idx="38">
                  <c:v>3.2499999999999999E-4</c:v>
                </c:pt>
                <c:pt idx="39">
                  <c:v>3.5E-4</c:v>
                </c:pt>
                <c:pt idx="40">
                  <c:v>3.7500000000000001E-4</c:v>
                </c:pt>
                <c:pt idx="41">
                  <c:v>4.0000000000000002E-4</c:v>
                </c:pt>
                <c:pt idx="42">
                  <c:v>4.2500000000000003E-4</c:v>
                </c:pt>
                <c:pt idx="43">
                  <c:v>4.4999999999999999E-4</c:v>
                </c:pt>
                <c:pt idx="44">
                  <c:v>5.0000000000000001E-4</c:v>
                </c:pt>
                <c:pt idx="45">
                  <c:v>5.6249999999999996E-4</c:v>
                </c:pt>
                <c:pt idx="46">
                  <c:v>6.2500000000000001E-4</c:v>
                </c:pt>
                <c:pt idx="47">
                  <c:v>6.8749999999999996E-4</c:v>
                </c:pt>
                <c:pt idx="48">
                  <c:v>7.5000000000000002E-4</c:v>
                </c:pt>
                <c:pt idx="49">
                  <c:v>8.1250000000000007E-4</c:v>
                </c:pt>
                <c:pt idx="50">
                  <c:v>8.7500000000000013E-4</c:v>
                </c:pt>
                <c:pt idx="51">
                  <c:v>9.3749999999999997E-4</c:v>
                </c:pt>
                <c:pt idx="52">
                  <c:v>1E-3</c:v>
                </c:pt>
                <c:pt idx="53">
                  <c:v>1.1249999999999999E-3</c:v>
                </c:pt>
                <c:pt idx="54">
                  <c:v>1.25E-3</c:v>
                </c:pt>
                <c:pt idx="55">
                  <c:v>1.3749999999999999E-3</c:v>
                </c:pt>
                <c:pt idx="56">
                  <c:v>1.5E-3</c:v>
                </c:pt>
                <c:pt idx="57">
                  <c:v>1.6250000000000001E-3</c:v>
                </c:pt>
                <c:pt idx="58">
                  <c:v>1.7500000000000003E-3</c:v>
                </c:pt>
                <c:pt idx="59">
                  <c:v>2E-3</c:v>
                </c:pt>
                <c:pt idx="60">
                  <c:v>2.2499999999999998E-3</c:v>
                </c:pt>
                <c:pt idx="61">
                  <c:v>2.5000000000000001E-3</c:v>
                </c:pt>
                <c:pt idx="62">
                  <c:v>2.7499999999999998E-3</c:v>
                </c:pt>
                <c:pt idx="63">
                  <c:v>3.0000000000000001E-3</c:v>
                </c:pt>
                <c:pt idx="64">
                  <c:v>3.2500000000000003E-3</c:v>
                </c:pt>
                <c:pt idx="65">
                  <c:v>3.5000000000000005E-3</c:v>
                </c:pt>
                <c:pt idx="66">
                  <c:v>3.7499999999999999E-3</c:v>
                </c:pt>
                <c:pt idx="67">
                  <c:v>4.0000000000000001E-3</c:v>
                </c:pt>
                <c:pt idx="68">
                  <c:v>4.2500000000000003E-3</c:v>
                </c:pt>
                <c:pt idx="69">
                  <c:v>4.4999999999999997E-3</c:v>
                </c:pt>
                <c:pt idx="70">
                  <c:v>5.0000000000000001E-3</c:v>
                </c:pt>
                <c:pt idx="71">
                  <c:v>5.6249999999999998E-3</c:v>
                </c:pt>
                <c:pt idx="72">
                  <c:v>6.2500000000000003E-3</c:v>
                </c:pt>
                <c:pt idx="73">
                  <c:v>6.8750000000000009E-3</c:v>
                </c:pt>
                <c:pt idx="74">
                  <c:v>7.4999999999999997E-3</c:v>
                </c:pt>
                <c:pt idx="75">
                  <c:v>8.1250000000000003E-3</c:v>
                </c:pt>
                <c:pt idx="76">
                  <c:v>8.7499999999999991E-3</c:v>
                </c:pt>
                <c:pt idx="77">
                  <c:v>9.3749999999999997E-3</c:v>
                </c:pt>
                <c:pt idx="78">
                  <c:v>0.01</c:v>
                </c:pt>
                <c:pt idx="79">
                  <c:v>1.125E-2</c:v>
                </c:pt>
                <c:pt idx="80">
                  <c:v>1.2500000000000001E-2</c:v>
                </c:pt>
                <c:pt idx="81">
                  <c:v>1.3750000000000002E-2</c:v>
                </c:pt>
                <c:pt idx="82">
                  <c:v>1.4999999999999999E-2</c:v>
                </c:pt>
                <c:pt idx="83">
                  <c:v>1.6250000000000001E-2</c:v>
                </c:pt>
                <c:pt idx="84">
                  <c:v>1.7499999999999998E-2</c:v>
                </c:pt>
                <c:pt idx="85">
                  <c:v>0.02</c:v>
                </c:pt>
                <c:pt idx="86">
                  <c:v>2.2499999999999999E-2</c:v>
                </c:pt>
                <c:pt idx="87">
                  <c:v>2.5000000000000001E-2</c:v>
                </c:pt>
                <c:pt idx="88">
                  <c:v>2.7500000000000004E-2</c:v>
                </c:pt>
                <c:pt idx="89">
                  <c:v>0.03</c:v>
                </c:pt>
                <c:pt idx="90">
                  <c:v>3.2500000000000001E-2</c:v>
                </c:pt>
                <c:pt idx="91">
                  <c:v>3.4999999999999996E-2</c:v>
                </c:pt>
                <c:pt idx="92">
                  <c:v>3.7499999999999999E-2</c:v>
                </c:pt>
                <c:pt idx="93">
                  <c:v>0.04</c:v>
                </c:pt>
                <c:pt idx="94">
                  <c:v>4.2499999999999996E-2</c:v>
                </c:pt>
                <c:pt idx="95">
                  <c:v>4.4999999999999998E-2</c:v>
                </c:pt>
                <c:pt idx="96">
                  <c:v>0.05</c:v>
                </c:pt>
                <c:pt idx="97">
                  <c:v>5.6250000000000001E-2</c:v>
                </c:pt>
                <c:pt idx="98">
                  <c:v>6.25E-2</c:v>
                </c:pt>
                <c:pt idx="99">
                  <c:v>6.8750000000000006E-2</c:v>
                </c:pt>
                <c:pt idx="100">
                  <c:v>7.4999999999999997E-2</c:v>
                </c:pt>
                <c:pt idx="101">
                  <c:v>8.1250000000000003E-2</c:v>
                </c:pt>
                <c:pt idx="102">
                  <c:v>8.7499999999999994E-2</c:v>
                </c:pt>
                <c:pt idx="103">
                  <c:v>9.375E-2</c:v>
                </c:pt>
                <c:pt idx="104">
                  <c:v>0.1</c:v>
                </c:pt>
                <c:pt idx="105">
                  <c:v>0.1125</c:v>
                </c:pt>
                <c:pt idx="106">
                  <c:v>0.125</c:v>
                </c:pt>
                <c:pt idx="107">
                  <c:v>0.13750000000000001</c:v>
                </c:pt>
                <c:pt idx="108">
                  <c:v>0.15</c:v>
                </c:pt>
                <c:pt idx="109">
                  <c:v>0.16250000000000001</c:v>
                </c:pt>
                <c:pt idx="110">
                  <c:v>0.17499999999999999</c:v>
                </c:pt>
                <c:pt idx="111">
                  <c:v>0.2</c:v>
                </c:pt>
                <c:pt idx="112">
                  <c:v>0.22500000000000001</c:v>
                </c:pt>
                <c:pt idx="113">
                  <c:v>0.25</c:v>
                </c:pt>
                <c:pt idx="114">
                  <c:v>0.27500000000000002</c:v>
                </c:pt>
                <c:pt idx="115">
                  <c:v>0.3</c:v>
                </c:pt>
                <c:pt idx="116">
                  <c:v>0.32500000000000001</c:v>
                </c:pt>
                <c:pt idx="117">
                  <c:v>0.35</c:v>
                </c:pt>
                <c:pt idx="118">
                  <c:v>0.375</c:v>
                </c:pt>
                <c:pt idx="119">
                  <c:v>0.4</c:v>
                </c:pt>
                <c:pt idx="120">
                  <c:v>0.42499999999999999</c:v>
                </c:pt>
                <c:pt idx="121">
                  <c:v>0.45</c:v>
                </c:pt>
                <c:pt idx="122">
                  <c:v>0.5</c:v>
                </c:pt>
                <c:pt idx="123">
                  <c:v>0.5625</c:v>
                </c:pt>
                <c:pt idx="124">
                  <c:v>0.625</c:v>
                </c:pt>
                <c:pt idx="125">
                  <c:v>0.6875</c:v>
                </c:pt>
                <c:pt idx="126">
                  <c:v>0.75</c:v>
                </c:pt>
                <c:pt idx="127">
                  <c:v>0.8125</c:v>
                </c:pt>
                <c:pt idx="128">
                  <c:v>0.875</c:v>
                </c:pt>
                <c:pt idx="129">
                  <c:v>0.9375</c:v>
                </c:pt>
                <c:pt idx="130" formatCode="0.000_ ">
                  <c:v>1</c:v>
                </c:pt>
                <c:pt idx="131" formatCode="0.000_ ">
                  <c:v>1.125</c:v>
                </c:pt>
                <c:pt idx="132" formatCode="0.000_ ">
                  <c:v>1.25</c:v>
                </c:pt>
                <c:pt idx="133" formatCode="0.000_ ">
                  <c:v>1.375</c:v>
                </c:pt>
                <c:pt idx="134" formatCode="0.000_ ">
                  <c:v>1.5</c:v>
                </c:pt>
                <c:pt idx="135" formatCode="0.000_ ">
                  <c:v>1.625</c:v>
                </c:pt>
                <c:pt idx="136" formatCode="0.000_ ">
                  <c:v>1.75</c:v>
                </c:pt>
                <c:pt idx="137" formatCode="0.000_ ">
                  <c:v>2</c:v>
                </c:pt>
                <c:pt idx="138" formatCode="0.000_ ">
                  <c:v>2.25</c:v>
                </c:pt>
                <c:pt idx="139" formatCode="0.000_ ">
                  <c:v>2.5</c:v>
                </c:pt>
                <c:pt idx="140" formatCode="0.000_ ">
                  <c:v>2.75</c:v>
                </c:pt>
                <c:pt idx="141" formatCode="0.000_ ">
                  <c:v>3</c:v>
                </c:pt>
                <c:pt idx="142" formatCode="0.000_ ">
                  <c:v>3.25</c:v>
                </c:pt>
                <c:pt idx="143" formatCode="0.000_ ">
                  <c:v>3.5</c:v>
                </c:pt>
                <c:pt idx="144" formatCode="0.000_ ">
                  <c:v>3.75</c:v>
                </c:pt>
                <c:pt idx="145" formatCode="0.000_ ">
                  <c:v>4</c:v>
                </c:pt>
                <c:pt idx="146" formatCode="0.000_ ">
                  <c:v>4.25</c:v>
                </c:pt>
                <c:pt idx="147" formatCode="0.000_ ">
                  <c:v>4.5</c:v>
                </c:pt>
                <c:pt idx="148" formatCode="0.000_ ">
                  <c:v>5</c:v>
                </c:pt>
                <c:pt idx="149" formatCode="0.000_ ">
                  <c:v>5.625</c:v>
                </c:pt>
                <c:pt idx="150" formatCode="0.000_ ">
                  <c:v>6.25</c:v>
                </c:pt>
                <c:pt idx="151" formatCode="0.000_ ">
                  <c:v>6.875</c:v>
                </c:pt>
                <c:pt idx="152" formatCode="0.000_ ">
                  <c:v>7.5</c:v>
                </c:pt>
                <c:pt idx="153" formatCode="0.000_ ">
                  <c:v>8.125</c:v>
                </c:pt>
                <c:pt idx="154" formatCode="0.000_ ">
                  <c:v>8.75</c:v>
                </c:pt>
                <c:pt idx="155" formatCode="0.000_ ">
                  <c:v>9.375</c:v>
                </c:pt>
                <c:pt idx="156" formatCode="0.000_ ">
                  <c:v>10</c:v>
                </c:pt>
                <c:pt idx="157" formatCode="0.000_ ">
                  <c:v>11.25</c:v>
                </c:pt>
                <c:pt idx="158" formatCode="0.000_ ">
                  <c:v>12.5</c:v>
                </c:pt>
                <c:pt idx="159" formatCode="0.000_ ">
                  <c:v>13.75</c:v>
                </c:pt>
                <c:pt idx="160" formatCode="0.000_ ">
                  <c:v>15</c:v>
                </c:pt>
                <c:pt idx="161" formatCode="0.000_ ">
                  <c:v>16.25</c:v>
                </c:pt>
                <c:pt idx="162" formatCode="0.000_ ">
                  <c:v>17.5</c:v>
                </c:pt>
                <c:pt idx="163" formatCode="0.000_ ">
                  <c:v>20</c:v>
                </c:pt>
                <c:pt idx="164" formatCode="0.000_ ">
                  <c:v>22.5</c:v>
                </c:pt>
                <c:pt idx="165" formatCode="0.000_ ">
                  <c:v>25</c:v>
                </c:pt>
                <c:pt idx="166" formatCode="0.000_ ">
                  <c:v>27.5</c:v>
                </c:pt>
                <c:pt idx="167" formatCode="0.000_ ">
                  <c:v>30</c:v>
                </c:pt>
                <c:pt idx="168" formatCode="0.000_ ">
                  <c:v>32.5</c:v>
                </c:pt>
                <c:pt idx="169" formatCode="0.000_ ">
                  <c:v>35</c:v>
                </c:pt>
                <c:pt idx="170" formatCode="0.000_ ">
                  <c:v>37.5</c:v>
                </c:pt>
                <c:pt idx="171" formatCode="0.000_ ">
                  <c:v>40</c:v>
                </c:pt>
                <c:pt idx="172" formatCode="0.000_ ">
                  <c:v>42.5</c:v>
                </c:pt>
                <c:pt idx="173" formatCode="0.000_ ">
                  <c:v>45</c:v>
                </c:pt>
                <c:pt idx="174" formatCode="0.000_ ">
                  <c:v>50</c:v>
                </c:pt>
                <c:pt idx="175" formatCode="0.000_ ">
                  <c:v>56.25</c:v>
                </c:pt>
                <c:pt idx="176" formatCode="0.000_ ">
                  <c:v>62.5</c:v>
                </c:pt>
                <c:pt idx="177" formatCode="0.000_ ">
                  <c:v>68.75</c:v>
                </c:pt>
                <c:pt idx="178" formatCode="0.000_ ">
                  <c:v>75</c:v>
                </c:pt>
                <c:pt idx="179" formatCode="0.000_ ">
                  <c:v>81.25</c:v>
                </c:pt>
                <c:pt idx="180" formatCode="0.000_ ">
                  <c:v>87.5</c:v>
                </c:pt>
                <c:pt idx="181" formatCode="0.000_ ">
                  <c:v>93.75</c:v>
                </c:pt>
                <c:pt idx="182" formatCode="0.00_ ">
                  <c:v>100</c:v>
                </c:pt>
                <c:pt idx="183" formatCode="0.00_ ">
                  <c:v>112.5</c:v>
                </c:pt>
                <c:pt idx="184" formatCode="0.00_ ">
                  <c:v>125</c:v>
                </c:pt>
                <c:pt idx="185" formatCode="0.00_ ">
                  <c:v>137.5</c:v>
                </c:pt>
                <c:pt idx="186" formatCode="0.00_ ">
                  <c:v>150</c:v>
                </c:pt>
                <c:pt idx="187" formatCode="0.00_ ">
                  <c:v>162.5</c:v>
                </c:pt>
                <c:pt idx="188" formatCode="0.00_ ">
                  <c:v>175</c:v>
                </c:pt>
                <c:pt idx="189" formatCode="0.00_ ">
                  <c:v>200</c:v>
                </c:pt>
                <c:pt idx="190" formatCode="0.00_ ">
                  <c:v>225</c:v>
                </c:pt>
                <c:pt idx="191" formatCode="0.00_ ">
                  <c:v>250</c:v>
                </c:pt>
                <c:pt idx="192" formatCode="0.00_ ">
                  <c:v>275</c:v>
                </c:pt>
                <c:pt idx="193" formatCode="0.00_ ">
                  <c:v>300</c:v>
                </c:pt>
                <c:pt idx="194" formatCode="0.00_ ">
                  <c:v>325</c:v>
                </c:pt>
                <c:pt idx="195" formatCode="0.00_ ">
                  <c:v>350</c:v>
                </c:pt>
                <c:pt idx="196" formatCode="0.00_ ">
                  <c:v>375</c:v>
                </c:pt>
                <c:pt idx="197" formatCode="0.00_ ">
                  <c:v>400</c:v>
                </c:pt>
                <c:pt idx="198" formatCode="0.00_ ">
                  <c:v>425</c:v>
                </c:pt>
                <c:pt idx="199" formatCode="0.00_ ">
                  <c:v>450</c:v>
                </c:pt>
                <c:pt idx="200" formatCode="0.00_ ">
                  <c:v>500</c:v>
                </c:pt>
                <c:pt idx="201" formatCode="0.00_ ">
                  <c:v>562.5</c:v>
                </c:pt>
                <c:pt idx="202" formatCode="0.00_ ">
                  <c:v>625</c:v>
                </c:pt>
                <c:pt idx="203" formatCode="0.00_ ">
                  <c:v>687.5</c:v>
                </c:pt>
                <c:pt idx="204" formatCode="0.00_ ">
                  <c:v>750</c:v>
                </c:pt>
                <c:pt idx="205" formatCode="0.00_ ">
                  <c:v>812.5</c:v>
                </c:pt>
                <c:pt idx="206" formatCode="0.00_ ">
                  <c:v>875</c:v>
                </c:pt>
                <c:pt idx="207" formatCode="0.00_ ">
                  <c:v>937.5</c:v>
                </c:pt>
                <c:pt idx="208" formatCode="0.00_ ">
                  <c:v>1000</c:v>
                </c:pt>
              </c:numCache>
            </c:numRef>
          </c:xVal>
          <c:yVal>
            <c:numRef>
              <c:f>'dbg33'!$AI$11:$AI$219</c:f>
              <c:numCache>
                <c:formatCode>0.000_ </c:formatCode>
                <c:ptCount val="209"/>
                <c:pt idx="0">
                  <c:v>3.9999900000000006E-4</c:v>
                </c:pt>
                <c:pt idx="1">
                  <c:v>4.4999900000000003E-4</c:v>
                </c:pt>
                <c:pt idx="2">
                  <c:v>4.9999899999999999E-4</c:v>
                </c:pt>
                <c:pt idx="3">
                  <c:v>5.4999900000000002E-4</c:v>
                </c:pt>
                <c:pt idx="4">
                  <c:v>5.9999900000000004E-4</c:v>
                </c:pt>
                <c:pt idx="5">
                  <c:v>6.4999900000000006E-4</c:v>
                </c:pt>
                <c:pt idx="6">
                  <c:v>6.9999899999999998E-4</c:v>
                </c:pt>
                <c:pt idx="7">
                  <c:v>7.9999900000000002E-4</c:v>
                </c:pt>
                <c:pt idx="8">
                  <c:v>8.9999900000000007E-4</c:v>
                </c:pt>
                <c:pt idx="9">
                  <c:v>9.9999900000000011E-4</c:v>
                </c:pt>
                <c:pt idx="10">
                  <c:v>1.1000000000000001E-3</c:v>
                </c:pt>
                <c:pt idx="11">
                  <c:v>1.1999999999999999E-3</c:v>
                </c:pt>
                <c:pt idx="12">
                  <c:v>1.2999999999999999E-3</c:v>
                </c:pt>
                <c:pt idx="13">
                  <c:v>1.3999999999999998E-3</c:v>
                </c:pt>
                <c:pt idx="14">
                  <c:v>1.5E-3</c:v>
                </c:pt>
                <c:pt idx="15">
                  <c:v>1.6000000000000001E-3</c:v>
                </c:pt>
                <c:pt idx="16">
                  <c:v>1.6999999999999999E-3</c:v>
                </c:pt>
                <c:pt idx="17">
                  <c:v>1.8E-3</c:v>
                </c:pt>
                <c:pt idx="18">
                  <c:v>2E-3</c:v>
                </c:pt>
                <c:pt idx="19">
                  <c:v>2.2499999999999998E-3</c:v>
                </c:pt>
                <c:pt idx="20">
                  <c:v>2.5000000000000001E-3</c:v>
                </c:pt>
                <c:pt idx="21">
                  <c:v>2.7499999999999998E-3</c:v>
                </c:pt>
                <c:pt idx="22">
                  <c:v>3.0000000000000001E-3</c:v>
                </c:pt>
                <c:pt idx="23">
                  <c:v>3.2499999999999999E-3</c:v>
                </c:pt>
                <c:pt idx="24">
                  <c:v>3.5000000000000001E-3</c:v>
                </c:pt>
                <c:pt idx="25">
                  <c:v>3.7499999999999999E-3</c:v>
                </c:pt>
                <c:pt idx="26">
                  <c:v>4.0000000000000001E-3</c:v>
                </c:pt>
                <c:pt idx="27">
                  <c:v>4.4999999999999997E-3</c:v>
                </c:pt>
                <c:pt idx="28">
                  <c:v>5.0000000000000001E-3</c:v>
                </c:pt>
                <c:pt idx="29">
                  <c:v>5.4999999999999997E-3</c:v>
                </c:pt>
                <c:pt idx="30">
                  <c:v>6.0000000000000001E-3</c:v>
                </c:pt>
                <c:pt idx="31">
                  <c:v>6.4999999999999997E-3</c:v>
                </c:pt>
                <c:pt idx="32">
                  <c:v>7.0000000000000001E-3</c:v>
                </c:pt>
                <c:pt idx="33">
                  <c:v>8.0000000000000002E-3</c:v>
                </c:pt>
                <c:pt idx="34">
                  <c:v>8.9999999999999993E-3</c:v>
                </c:pt>
                <c:pt idx="35">
                  <c:v>0.01</c:v>
                </c:pt>
                <c:pt idx="36">
                  <c:v>1.0999999999999999E-2</c:v>
                </c:pt>
                <c:pt idx="37">
                  <c:v>1.2E-2</c:v>
                </c:pt>
                <c:pt idx="38">
                  <c:v>1.2999999999999999E-2</c:v>
                </c:pt>
                <c:pt idx="39">
                  <c:v>1.4E-2</c:v>
                </c:pt>
                <c:pt idx="40">
                  <c:v>1.4999999999999999E-2</c:v>
                </c:pt>
                <c:pt idx="41">
                  <c:v>1.6E-2</c:v>
                </c:pt>
                <c:pt idx="42">
                  <c:v>1.7000000000000001E-2</c:v>
                </c:pt>
                <c:pt idx="43">
                  <c:v>1.7999999999999999E-2</c:v>
                </c:pt>
                <c:pt idx="44">
                  <c:v>0.02</c:v>
                </c:pt>
                <c:pt idx="45">
                  <c:v>2.2499999999999999E-2</c:v>
                </c:pt>
                <c:pt idx="46">
                  <c:v>2.5000000000000001E-2</c:v>
                </c:pt>
                <c:pt idx="47">
                  <c:v>2.7499999999999997E-2</c:v>
                </c:pt>
                <c:pt idx="48">
                  <c:v>0.03</c:v>
                </c:pt>
                <c:pt idx="49">
                  <c:v>3.2500000000000001E-2</c:v>
                </c:pt>
                <c:pt idx="50">
                  <c:v>3.5000000000000003E-2</c:v>
                </c:pt>
                <c:pt idx="51">
                  <c:v>3.7499999999999999E-2</c:v>
                </c:pt>
                <c:pt idx="52">
                  <c:v>0.04</c:v>
                </c:pt>
                <c:pt idx="53">
                  <c:v>4.4999999999999998E-2</c:v>
                </c:pt>
                <c:pt idx="54">
                  <c:v>0.05</c:v>
                </c:pt>
                <c:pt idx="55">
                  <c:v>5.4999999999999993E-2</c:v>
                </c:pt>
                <c:pt idx="56">
                  <c:v>0.06</c:v>
                </c:pt>
                <c:pt idx="57">
                  <c:v>6.5000000000000002E-2</c:v>
                </c:pt>
                <c:pt idx="58">
                  <c:v>7.0000000000000007E-2</c:v>
                </c:pt>
                <c:pt idx="59">
                  <c:v>0.08</c:v>
                </c:pt>
                <c:pt idx="60">
                  <c:v>0.09</c:v>
                </c:pt>
                <c:pt idx="61">
                  <c:v>0.1</c:v>
                </c:pt>
                <c:pt idx="62">
                  <c:v>0.10999999999999999</c:v>
                </c:pt>
                <c:pt idx="63">
                  <c:v>0.12</c:v>
                </c:pt>
                <c:pt idx="64">
                  <c:v>0.13</c:v>
                </c:pt>
                <c:pt idx="65">
                  <c:v>0.14000000000000001</c:v>
                </c:pt>
                <c:pt idx="66">
                  <c:v>0.15</c:v>
                </c:pt>
                <c:pt idx="67">
                  <c:v>0.16</c:v>
                </c:pt>
                <c:pt idx="68">
                  <c:v>0.17</c:v>
                </c:pt>
                <c:pt idx="69">
                  <c:v>0.18</c:v>
                </c:pt>
                <c:pt idx="70">
                  <c:v>0.2</c:v>
                </c:pt>
                <c:pt idx="71">
                  <c:v>0.22499999999999998</c:v>
                </c:pt>
                <c:pt idx="72">
                  <c:v>0.25</c:v>
                </c:pt>
                <c:pt idx="73">
                  <c:v>0.27500000000000002</c:v>
                </c:pt>
                <c:pt idx="74">
                  <c:v>0.3</c:v>
                </c:pt>
                <c:pt idx="75">
                  <c:v>0.32500000000000001</c:v>
                </c:pt>
                <c:pt idx="76">
                  <c:v>0.35</c:v>
                </c:pt>
                <c:pt idx="77">
                  <c:v>0.375</c:v>
                </c:pt>
                <c:pt idx="78">
                  <c:v>0.4</c:v>
                </c:pt>
                <c:pt idx="79">
                  <c:v>0.44999999999999996</c:v>
                </c:pt>
                <c:pt idx="80">
                  <c:v>0.5</c:v>
                </c:pt>
                <c:pt idx="81">
                  <c:v>0.55000000000000004</c:v>
                </c:pt>
                <c:pt idx="82">
                  <c:v>0.6</c:v>
                </c:pt>
                <c:pt idx="83">
                  <c:v>0.65</c:v>
                </c:pt>
                <c:pt idx="84">
                  <c:v>0.7</c:v>
                </c:pt>
                <c:pt idx="85">
                  <c:v>0.8</c:v>
                </c:pt>
                <c:pt idx="86">
                  <c:v>0.89999999999999991</c:v>
                </c:pt>
                <c:pt idx="87">
                  <c:v>1</c:v>
                </c:pt>
                <c:pt idx="88">
                  <c:v>1.1000000000000001</c:v>
                </c:pt>
                <c:pt idx="89">
                  <c:v>1.2</c:v>
                </c:pt>
                <c:pt idx="90">
                  <c:v>1.3</c:v>
                </c:pt>
                <c:pt idx="91">
                  <c:v>1.4</c:v>
                </c:pt>
                <c:pt idx="92">
                  <c:v>1.5</c:v>
                </c:pt>
                <c:pt idx="93">
                  <c:v>1.6</c:v>
                </c:pt>
                <c:pt idx="94">
                  <c:v>1.6999999999999997</c:v>
                </c:pt>
                <c:pt idx="95">
                  <c:v>1.7999999999999998</c:v>
                </c:pt>
                <c:pt idx="96">
                  <c:v>2</c:v>
                </c:pt>
                <c:pt idx="97">
                  <c:v>2.25</c:v>
                </c:pt>
                <c:pt idx="98">
                  <c:v>2.5</c:v>
                </c:pt>
                <c:pt idx="99">
                  <c:v>2.75</c:v>
                </c:pt>
                <c:pt idx="100">
                  <c:v>3</c:v>
                </c:pt>
                <c:pt idx="101">
                  <c:v>3.25</c:v>
                </c:pt>
                <c:pt idx="102">
                  <c:v>3.5</c:v>
                </c:pt>
                <c:pt idx="103">
                  <c:v>3.75</c:v>
                </c:pt>
                <c:pt idx="104">
                  <c:v>4</c:v>
                </c:pt>
                <c:pt idx="105">
                  <c:v>4.5</c:v>
                </c:pt>
                <c:pt idx="106">
                  <c:v>5</c:v>
                </c:pt>
                <c:pt idx="107">
                  <c:v>5.5</c:v>
                </c:pt>
                <c:pt idx="108">
                  <c:v>6</c:v>
                </c:pt>
                <c:pt idx="109">
                  <c:v>6.5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7B5-47B7-A394-65373099B632}"/>
            </c:ext>
          </c:extLst>
        </c:ser>
        <c:ser>
          <c:idx val="5"/>
          <c:order val="4"/>
          <c:tx>
            <c:v>Eu10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'dbg33'!$U$4</c:f>
              <c:numCache>
                <c:formatCode>0.00</c:formatCode>
                <c:ptCount val="1"/>
                <c:pt idx="0">
                  <c:v>100</c:v>
                </c:pt>
              </c:numCache>
            </c:numRef>
          </c:xVal>
          <c:yVal>
            <c:numRef>
              <c:f>'dbg33'!$X$4</c:f>
              <c:numCache>
                <c:formatCode>0.000_ ;[Red]\-0.000\ </c:formatCode>
                <c:ptCount val="1"/>
                <c:pt idx="0">
                  <c:v>27.401357682825108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7B5-47B7-A394-65373099B632}"/>
            </c:ext>
          </c:extLst>
        </c:ser>
        <c:ser>
          <c:idx val="0"/>
          <c:order val="5"/>
          <c:tx>
            <c:v>dEt Goal</c:v>
          </c:tx>
          <c:spPr>
            <a:ln w="15875">
              <a:solidFill>
                <a:srgbClr val="FF0000"/>
              </a:solidFill>
            </a:ln>
          </c:spPr>
          <c:marker>
            <c:symbol val="circle"/>
            <c:size val="3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'dbg33'!$AE$4:$AE$5</c:f>
              <c:numCache>
                <c:formatCode>General</c:formatCode>
                <c:ptCount val="2"/>
                <c:pt idx="0">
                  <c:v>9.9999750000000008E-6</c:v>
                </c:pt>
                <c:pt idx="1">
                  <c:v>1000</c:v>
                </c:pt>
              </c:numCache>
            </c:numRef>
          </c:xVal>
          <c:yVal>
            <c:numRef>
              <c:f>'dbg33'!$AH$4:$AH$5</c:f>
              <c:numCache>
                <c:formatCode>0.000_ ;[Red]\-0.000\ </c:formatCode>
                <c:ptCount val="2"/>
                <c:pt idx="0">
                  <c:v>27.401357682825108</c:v>
                </c:pt>
                <c:pt idx="1">
                  <c:v>27.401357682825108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7B5-47B7-A394-65373099B632}"/>
            </c:ext>
          </c:extLst>
        </c:ser>
        <c:ser>
          <c:idx val="6"/>
          <c:order val="6"/>
          <c:tx>
            <c:v>E20 stop</c:v>
          </c:tx>
          <c:spPr>
            <a:ln>
              <a:noFill/>
            </a:ln>
          </c:spPr>
          <c:marker>
            <c:symbol val="triangle"/>
            <c:size val="9"/>
            <c:spPr>
              <a:solidFill>
                <a:srgbClr val="0000FF"/>
              </a:solidFill>
              <a:ln>
                <a:noFill/>
              </a:ln>
            </c:spPr>
          </c:marker>
          <c:xVal>
            <c:numRef>
              <c:f>'dbg33'!$E$19</c:f>
              <c:numCache>
                <c:formatCode>0.000_ </c:formatCode>
                <c:ptCount val="1"/>
                <c:pt idx="0">
                  <c:v>9.3402777777777782E-5</c:v>
                </c:pt>
              </c:numCache>
            </c:numRef>
          </c:xVal>
          <c:yVal>
            <c:numRef>
              <c:f>'dbg33'!$N$19</c:f>
              <c:numCache>
                <c:formatCode>0.00_ </c:formatCode>
                <c:ptCount val="1"/>
                <c:pt idx="0">
                  <c:v>3.7361111111111111E-3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7B5-47B7-A394-65373099B632}"/>
            </c:ext>
          </c:extLst>
        </c:ser>
        <c:ser>
          <c:idx val="7"/>
          <c:order val="7"/>
          <c:tx>
            <c:v>dEt Found Eh</c:v>
          </c:tx>
          <c:spPr>
            <a:ln>
              <a:noFill/>
            </a:ln>
          </c:spPr>
          <c:marker>
            <c:symbol val="x"/>
            <c:size val="9"/>
            <c:spPr>
              <a:noFill/>
              <a:ln>
                <a:solidFill>
                  <a:srgbClr val="FF00FF"/>
                </a:solidFill>
              </a:ln>
            </c:spPr>
          </c:marker>
          <c:xVal>
            <c:numRef>
              <c:f>'dbg33'!$E$26</c:f>
              <c:numCache>
                <c:formatCode>0.000</c:formatCode>
                <c:ptCount val="1"/>
                <c:pt idx="0">
                  <c:v>1.4531697674717448</c:v>
                </c:pt>
              </c:numCache>
            </c:numRef>
          </c:xVal>
          <c:yVal>
            <c:numRef>
              <c:f>'dbg33'!$N$26</c:f>
              <c:numCache>
                <c:formatCode>0.000_ </c:formatCode>
                <c:ptCount val="1"/>
                <c:pt idx="0">
                  <c:v>27.411576735671336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7B5-47B7-A394-65373099B632}"/>
            </c:ext>
          </c:extLst>
        </c:ser>
        <c:ser>
          <c:idx val="8"/>
          <c:order val="8"/>
          <c:tx>
            <c:v>dEt Found El</c:v>
          </c:tx>
          <c:spPr>
            <a:ln>
              <a:noFill/>
            </a:ln>
          </c:spPr>
          <c:marker>
            <c:symbol val="x"/>
            <c:size val="9"/>
            <c:spPr>
              <a:noFill/>
              <a:ln>
                <a:solidFill>
                  <a:srgbClr val="006600"/>
                </a:solidFill>
              </a:ln>
            </c:spPr>
          </c:marker>
          <c:xVal>
            <c:numRef>
              <c:f>'dbg33'!$E$28</c:f>
              <c:numCache>
                <c:formatCode>0.000</c:formatCode>
                <c:ptCount val="1"/>
                <c:pt idx="0">
                  <c:v>0.9483402898741824</c:v>
                </c:pt>
              </c:numCache>
            </c:numRef>
          </c:xVal>
          <c:yVal>
            <c:numRef>
              <c:f>'dbg33'!$N$28</c:f>
              <c:numCache>
                <c:formatCode>0.000_ </c:formatCode>
                <c:ptCount val="1"/>
                <c:pt idx="0">
                  <c:v>27.413646254854818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37B5-47B7-A394-65373099B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673424"/>
        <c:axId val="464672640"/>
      </c:scatterChart>
      <c:valAx>
        <c:axId val="464673424"/>
        <c:scaling>
          <c:logBase val="10"/>
          <c:orientation val="minMax"/>
          <c:min val="1.0000000000000002E-3"/>
        </c:scaling>
        <c:delete val="0"/>
        <c:axPos val="b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</c:majorGridlines>
        <c:minorGridlines>
          <c:spPr>
            <a:ln>
              <a:solidFill>
                <a:srgbClr val="CCECFF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800"/>
                </a:pPr>
                <a:r>
                  <a:rPr lang="en-US" sz="800"/>
                  <a:t>Eu10/20 [MeV/u]</a:t>
                </a:r>
                <a:endParaRPr lang="ja-JP" sz="800"/>
              </a:p>
            </c:rich>
          </c:tx>
          <c:layout>
            <c:manualLayout>
              <c:xMode val="edge"/>
              <c:yMode val="edge"/>
              <c:x val="0.72865138888888892"/>
              <c:y val="0.82106319444444442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cross"/>
        <c:minorTickMark val="in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4672640"/>
        <c:crosses val="autoZero"/>
        <c:crossBetween val="midCat"/>
      </c:valAx>
      <c:valAx>
        <c:axId val="464672640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12700">
              <a:solidFill>
                <a:schemeClr val="tx2"/>
              </a:solidFill>
              <a:prstDash val="sysDash"/>
            </a:ln>
          </c:spPr>
        </c:majorGridlines>
        <c:min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800"/>
                </a:pPr>
                <a:r>
                  <a:rPr lang="en-US" sz="800"/>
                  <a:t>dEt1/2</a:t>
                </a:r>
                <a:r>
                  <a:rPr lang="en-US" sz="800" baseline="0"/>
                  <a:t> [MeV/u]</a:t>
                </a:r>
                <a:endParaRPr lang="ja-JP" sz="800"/>
              </a:p>
            </c:rich>
          </c:tx>
          <c:layout>
            <c:manualLayout>
              <c:xMode val="edge"/>
              <c:yMode val="edge"/>
              <c:x val="1.4534166666666667E-2"/>
              <c:y val="0.61555648148148145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cross"/>
        <c:minorTickMark val="out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464673424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3.8438888888888884E-3"/>
          <c:y val="0.84279212962962957"/>
          <c:w val="0.70731944444444439"/>
          <c:h val="0.15544398148148147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3175">
      <a:noFill/>
    </a:ln>
  </c:spPr>
  <c:txPr>
    <a:bodyPr/>
    <a:lstStyle/>
    <a:p>
      <a:pPr>
        <a:defRPr b="0" baseline="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261937</xdr:colOff>
      <xdr:row>19</xdr:row>
      <xdr:rowOff>119062</xdr:rowOff>
    </xdr:from>
    <xdr:ext cx="5040000" cy="3240000"/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16</xdr:col>
      <xdr:colOff>59534</xdr:colOff>
      <xdr:row>19</xdr:row>
      <xdr:rowOff>83344</xdr:rowOff>
    </xdr:from>
    <xdr:ext cx="5040000" cy="3240000"/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8</xdr:col>
      <xdr:colOff>285750</xdr:colOff>
      <xdr:row>39</xdr:row>
      <xdr:rowOff>130969</xdr:rowOff>
    </xdr:from>
    <xdr:ext cx="5040000" cy="3240000"/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16</xdr:col>
      <xdr:colOff>83344</xdr:colOff>
      <xdr:row>39</xdr:row>
      <xdr:rowOff>166686</xdr:rowOff>
    </xdr:from>
    <xdr:ext cx="5040000" cy="3240000"/>
    <xdr:graphicFrame macro="">
      <xdr:nvGraphicFramePr>
        <xdr:cNvPr id="5" name="グラフ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0.79139</cdr:x>
      <cdr:y>0</cdr:y>
    </cdr:from>
    <cdr:to>
      <cdr:x>0.97282</cdr:x>
      <cdr:y>0.0735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988593" y="0"/>
          <a:ext cx="9144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Lin-Lin </a:t>
          </a:r>
          <a:r>
            <a:rPr lang="ja-JP" altLang="en-US" sz="1100"/>
            <a:t>確認用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0.78194</cdr:x>
      <cdr:y>0.00735</cdr:y>
    </cdr:from>
    <cdr:to>
      <cdr:x>0.96337</cdr:x>
      <cdr:y>0.08084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940968" y="23811"/>
          <a:ext cx="9144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Lin-Lin </a:t>
          </a:r>
          <a:r>
            <a:rPr lang="ja-JP" altLang="en-US" sz="1100"/>
            <a:t>確認用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0.72287</cdr:x>
      <cdr:y>0.0441</cdr:y>
    </cdr:from>
    <cdr:to>
      <cdr:x>0.9043</cdr:x>
      <cdr:y>0.11759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643289" y="142881"/>
          <a:ext cx="914408" cy="2381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Log-Log </a:t>
          </a:r>
          <a:r>
            <a:rPr lang="ja-JP" altLang="en-US" sz="1100"/>
            <a:t>全体表示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0.61658</cdr:x>
      <cdr:y>0.03308</cdr:y>
    </cdr:from>
    <cdr:to>
      <cdr:x>0.79801</cdr:x>
      <cdr:y>0.10657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107546" y="107163"/>
          <a:ext cx="914407" cy="2381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Log-Log </a:t>
          </a:r>
          <a:r>
            <a:rPr lang="ja-JP" altLang="en-US" sz="1100"/>
            <a:t>全体表示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206375</xdr:colOff>
      <xdr:row>13</xdr:row>
      <xdr:rowOff>164041</xdr:rowOff>
    </xdr:from>
    <xdr:to>
      <xdr:col>12</xdr:col>
      <xdr:colOff>402108</xdr:colOff>
      <xdr:row>26</xdr:row>
      <xdr:rowOff>98367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498475</xdr:colOff>
      <xdr:row>13</xdr:row>
      <xdr:rowOff>139699</xdr:rowOff>
    </xdr:from>
    <xdr:to>
      <xdr:col>15</xdr:col>
      <xdr:colOff>664575</xdr:colOff>
      <xdr:row>26</xdr:row>
      <xdr:rowOff>74025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84667</xdr:colOff>
      <xdr:row>14</xdr:row>
      <xdr:rowOff>1</xdr:rowOff>
    </xdr:from>
    <xdr:to>
      <xdr:col>19</xdr:col>
      <xdr:colOff>174567</xdr:colOff>
      <xdr:row>26</xdr:row>
      <xdr:rowOff>103660</xdr:rowOff>
    </xdr:to>
    <xdr:graphicFrame macro="">
      <xdr:nvGraphicFramePr>
        <xdr:cNvPr id="5" name="グラフ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254000</xdr:colOff>
      <xdr:row>27</xdr:row>
      <xdr:rowOff>52917</xdr:rowOff>
    </xdr:from>
    <xdr:to>
      <xdr:col>12</xdr:col>
      <xdr:colOff>449733</xdr:colOff>
      <xdr:row>41</xdr:row>
      <xdr:rowOff>29576</xdr:rowOff>
    </xdr:to>
    <xdr:graphicFrame macro="">
      <xdr:nvGraphicFramePr>
        <xdr:cNvPr id="6" name="グラフ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529166</xdr:colOff>
      <xdr:row>27</xdr:row>
      <xdr:rowOff>63500</xdr:rowOff>
    </xdr:from>
    <xdr:to>
      <xdr:col>15</xdr:col>
      <xdr:colOff>682566</xdr:colOff>
      <xdr:row>41</xdr:row>
      <xdr:rowOff>40159</xdr:rowOff>
    </xdr:to>
    <xdr:graphicFrame macro="">
      <xdr:nvGraphicFramePr>
        <xdr:cNvPr id="7" name="グラフ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16</xdr:col>
      <xdr:colOff>74084</xdr:colOff>
      <xdr:row>27</xdr:row>
      <xdr:rowOff>63500</xdr:rowOff>
    </xdr:from>
    <xdr:to>
      <xdr:col>19</xdr:col>
      <xdr:colOff>163984</xdr:colOff>
      <xdr:row>41</xdr:row>
      <xdr:rowOff>40159</xdr:rowOff>
    </xdr:to>
    <xdr:graphicFrame macro="">
      <xdr:nvGraphicFramePr>
        <xdr:cNvPr id="8" name="グラフ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456406</xdr:colOff>
      <xdr:row>15</xdr:row>
      <xdr:rowOff>52917</xdr:rowOff>
    </xdr:from>
    <xdr:to>
      <xdr:col>9</xdr:col>
      <xdr:colOff>259233</xdr:colOff>
      <xdr:row>28</xdr:row>
      <xdr:rowOff>136732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523875</xdr:colOff>
      <xdr:row>36</xdr:row>
      <xdr:rowOff>95250</xdr:rowOff>
    </xdr:from>
    <xdr:to>
      <xdr:col>9</xdr:col>
      <xdr:colOff>326702</xdr:colOff>
      <xdr:row>49</xdr:row>
      <xdr:rowOff>119535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340518</xdr:colOff>
      <xdr:row>20</xdr:row>
      <xdr:rowOff>12434</xdr:rowOff>
    </xdr:from>
    <xdr:to>
      <xdr:col>8</xdr:col>
      <xdr:colOff>628601</xdr:colOff>
      <xdr:row>55</xdr:row>
      <xdr:rowOff>99767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87313</xdr:colOff>
      <xdr:row>35</xdr:row>
      <xdr:rowOff>136264</xdr:rowOff>
    </xdr:from>
    <xdr:to>
      <xdr:col>4</xdr:col>
      <xdr:colOff>390203</xdr:colOff>
      <xdr:row>48</xdr:row>
      <xdr:rowOff>160549</xdr:rowOff>
    </xdr:to>
    <xdr:graphicFrame macro="">
      <xdr:nvGraphicFramePr>
        <xdr:cNvPr id="5" name="グラフ 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71438</xdr:colOff>
      <xdr:row>35</xdr:row>
      <xdr:rowOff>119062</xdr:rowOff>
    </xdr:from>
    <xdr:to>
      <xdr:col>9</xdr:col>
      <xdr:colOff>17141</xdr:colOff>
      <xdr:row>48</xdr:row>
      <xdr:rowOff>143347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87313</xdr:colOff>
      <xdr:row>35</xdr:row>
      <xdr:rowOff>136264</xdr:rowOff>
    </xdr:from>
    <xdr:to>
      <xdr:col>4</xdr:col>
      <xdr:colOff>390203</xdr:colOff>
      <xdr:row>48</xdr:row>
      <xdr:rowOff>160549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71438</xdr:colOff>
      <xdr:row>35</xdr:row>
      <xdr:rowOff>119062</xdr:rowOff>
    </xdr:from>
    <xdr:to>
      <xdr:col>9</xdr:col>
      <xdr:colOff>17141</xdr:colOff>
      <xdr:row>48</xdr:row>
      <xdr:rowOff>143347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257174</xdr:colOff>
      <xdr:row>29</xdr:row>
      <xdr:rowOff>30956</xdr:rowOff>
    </xdr:from>
    <xdr:to>
      <xdr:col>7</xdr:col>
      <xdr:colOff>178143</xdr:colOff>
      <xdr:row>55</xdr:row>
      <xdr:rowOff>159956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250032</xdr:colOff>
      <xdr:row>29</xdr:row>
      <xdr:rowOff>59532</xdr:rowOff>
    </xdr:from>
    <xdr:to>
      <xdr:col>12</xdr:col>
      <xdr:colOff>623438</xdr:colOff>
      <xdr:row>56</xdr:row>
      <xdr:rowOff>21845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107158</xdr:colOff>
      <xdr:row>24</xdr:row>
      <xdr:rowOff>130969</xdr:rowOff>
    </xdr:from>
    <xdr:to>
      <xdr:col>11</xdr:col>
      <xdr:colOff>498752</xdr:colOff>
      <xdr:row>46</xdr:row>
      <xdr:rowOff>87657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59530</xdr:colOff>
      <xdr:row>24</xdr:row>
      <xdr:rowOff>95251</xdr:rowOff>
    </xdr:from>
    <xdr:to>
      <xdr:col>6</xdr:col>
      <xdr:colOff>623436</xdr:colOff>
      <xdr:row>50</xdr:row>
      <xdr:rowOff>105189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107158</xdr:colOff>
      <xdr:row>24</xdr:row>
      <xdr:rowOff>130969</xdr:rowOff>
    </xdr:from>
    <xdr:to>
      <xdr:col>11</xdr:col>
      <xdr:colOff>498752</xdr:colOff>
      <xdr:row>46</xdr:row>
      <xdr:rowOff>87656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166687</xdr:colOff>
      <xdr:row>25</xdr:row>
      <xdr:rowOff>47625</xdr:rowOff>
    </xdr:from>
    <xdr:to>
      <xdr:col>6</xdr:col>
      <xdr:colOff>730593</xdr:colOff>
      <xdr:row>51</xdr:row>
      <xdr:rowOff>57563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257174</xdr:colOff>
      <xdr:row>29</xdr:row>
      <xdr:rowOff>30956</xdr:rowOff>
    </xdr:from>
    <xdr:to>
      <xdr:col>7</xdr:col>
      <xdr:colOff>178143</xdr:colOff>
      <xdr:row>55</xdr:row>
      <xdr:rowOff>159956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357189</xdr:colOff>
      <xdr:row>28</xdr:row>
      <xdr:rowOff>95252</xdr:rowOff>
    </xdr:from>
    <xdr:to>
      <xdr:col>12</xdr:col>
      <xdr:colOff>730595</xdr:colOff>
      <xdr:row>55</xdr:row>
      <xdr:rowOff>57564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SRIMfi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Log"/>
      <sheetName val="FncHelp"/>
      <sheetName val="FncLst1_J"/>
      <sheetName val="FncLst2a_J "/>
      <sheetName val="FncLst2b_J"/>
    </sheetNames>
    <definedNames>
      <definedName name="srdE2ixE"/>
      <definedName name="srdEfpk"/>
      <definedName name="srdEfpkE"/>
      <definedName name="srdEip"/>
      <definedName name="srDEt_eq_Eold"/>
      <definedName name="srDEt_eq_EoldGas"/>
      <definedName name="srDEt_eq_Th"/>
      <definedName name="srDEt_eq_ThGas"/>
      <definedName name="srDEu_eq_Eold"/>
      <definedName name="srDEu_eq_EoldGas"/>
      <definedName name="srDEu_eq_Th"/>
      <definedName name="srDEu_eq_ThGas"/>
      <definedName name="srE2Ix"/>
      <definedName name="srE2LETe"/>
      <definedName name="srE2LETn"/>
      <definedName name="srE2LETt"/>
      <definedName name="srE2Rng"/>
      <definedName name="srE2StLng"/>
      <definedName name="srE2StLtr"/>
      <definedName name="srElmNm"/>
      <definedName name="srEnew"/>
      <definedName name="srEnew_eq_Eold"/>
      <definedName name="srEnew_eq_EoldGas"/>
      <definedName name="srEnew_eq_Th"/>
      <definedName name="srEnew_eq_ThGas"/>
      <definedName name="srEnewGas"/>
      <definedName name="srEnewt_eq_Eold"/>
      <definedName name="srEnewt_eq_EoldGas"/>
      <definedName name="srEnewt_eq_Th"/>
      <definedName name="srEnewt_eq_ThGas"/>
      <definedName name="srEold"/>
      <definedName name="srEoldGas"/>
      <definedName name="srInfoBrgC"/>
      <definedName name="srInfoIonA"/>
      <definedName name="srInfoIonZ"/>
      <definedName name="srInfoTgCmAtmNm"/>
      <definedName name="srInfoTgCmAtmNo"/>
      <definedName name="srInfoTgCmAtmPct"/>
      <definedName name="srInfoTgCmMasPct"/>
      <definedName name="srInfoTgIsGas"/>
      <definedName name="srInfoTrgDens"/>
      <definedName name="srInfoTrgDensA"/>
      <definedName name="srInfoTrgName"/>
      <definedName name="srInfoTrgNameL"/>
      <definedName name="srInfoTrgPtbl"/>
      <definedName name="srInfoTrgTtbl"/>
      <definedName name="srInfoVer"/>
      <definedName name="srInfoWScorded"/>
      <definedName name="srIx2Val"/>
      <definedName name="srIx2ValAry"/>
      <definedName name="srIxEmax"/>
      <definedName name="srIxEmin"/>
      <definedName name="srLETCnvF"/>
      <definedName name="srLETe2E"/>
      <definedName name="srLETn2E"/>
      <definedName name="srLETt2E"/>
      <definedName name="srLETUNm"/>
      <definedName name="srMaxE"/>
      <definedName name="srMaxLETe"/>
      <definedName name="srMaxLETe2E"/>
      <definedName name="srMaxLETn"/>
      <definedName name="srMaxLETn2E"/>
      <definedName name="srMaxLETt"/>
      <definedName name="srMaxLETt2E"/>
      <definedName name="srMaxRng"/>
      <definedName name="srMaxStLng"/>
      <definedName name="srMaxStLtr"/>
      <definedName name="srmg2um"/>
      <definedName name="srMinE"/>
      <definedName name="srMinRng"/>
      <definedName name="srMinStLng"/>
      <definedName name="srMinStLtr"/>
      <definedName name="srRng_eq_Eold"/>
      <definedName name="srRng2E"/>
      <definedName name="srStLng2E"/>
      <definedName name="srStLtr2E"/>
      <definedName name="srThkStd"/>
      <definedName name="srum2mg"/>
      <definedName name="srVal2Ix"/>
    </defined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2:F42"/>
  <sheetViews>
    <sheetView zoomScale="80" zoomScaleNormal="80" workbookViewId="0">
      <selection activeCell="F29" sqref="F29"/>
    </sheetView>
  </sheetViews>
  <sheetFormatPr defaultRowHeight="13.5"/>
  <cols>
    <col min="1" max="1" width="4.25" style="11" customWidth="1"/>
    <col min="2" max="2" width="9" style="11"/>
    <col min="3" max="3" width="7.375" style="11" customWidth="1"/>
    <col min="4" max="4" width="4.625" style="11" customWidth="1"/>
    <col min="5" max="5" width="4.5" style="11" customWidth="1"/>
    <col min="6" max="6" width="76.375" style="11" customWidth="1"/>
    <col min="7" max="16384" width="9" style="11"/>
  </cols>
  <sheetData>
    <row r="2" spans="2:6" s="32" customFormat="1" ht="18.75">
      <c r="B2" s="33" t="s">
        <v>147</v>
      </c>
      <c r="F2" s="59" t="s">
        <v>718</v>
      </c>
    </row>
    <row r="4" spans="2:6" ht="17.25">
      <c r="B4" s="23" t="s">
        <v>35</v>
      </c>
    </row>
    <row r="6" spans="2:6">
      <c r="C6" s="25" t="s">
        <v>2</v>
      </c>
      <c r="E6" s="11" t="s">
        <v>3</v>
      </c>
    </row>
    <row r="7" spans="2:6">
      <c r="B7" s="11" t="s">
        <v>5</v>
      </c>
      <c r="C7" s="11" t="s">
        <v>4</v>
      </c>
    </row>
    <row r="9" spans="2:6">
      <c r="B9" s="24" t="s">
        <v>6</v>
      </c>
      <c r="C9" s="24" t="s">
        <v>7</v>
      </c>
      <c r="D9" s="11" t="s">
        <v>8</v>
      </c>
    </row>
    <row r="10" spans="2:6">
      <c r="D10" s="11" t="s">
        <v>36</v>
      </c>
    </row>
    <row r="11" spans="2:6">
      <c r="C11" s="26"/>
    </row>
    <row r="12" spans="2:6">
      <c r="C12" s="27"/>
    </row>
    <row r="13" spans="2:6">
      <c r="B13" s="24"/>
      <c r="C13" s="27"/>
    </row>
    <row r="14" spans="2:6">
      <c r="B14" s="24"/>
      <c r="C14" s="27"/>
    </row>
    <row r="15" spans="2:6">
      <c r="B15" s="24"/>
      <c r="C15" s="27"/>
    </row>
    <row r="16" spans="2:6" s="28" customFormat="1">
      <c r="B16" s="29"/>
      <c r="C16" s="30"/>
    </row>
    <row r="17" spans="3:6" s="28" customFormat="1">
      <c r="C17" s="31"/>
      <c r="D17" s="29"/>
    </row>
    <row r="18" spans="3:6" s="28" customFormat="1">
      <c r="C18" s="31"/>
    </row>
    <row r="19" spans="3:6" s="28" customFormat="1">
      <c r="C19" s="31"/>
    </row>
    <row r="20" spans="3:6" s="28" customFormat="1">
      <c r="C20" s="31"/>
    </row>
    <row r="21" spans="3:6" s="28" customFormat="1">
      <c r="C21" s="31"/>
    </row>
    <row r="22" spans="3:6" s="28" customFormat="1">
      <c r="C22" s="31"/>
      <c r="D22" s="29"/>
      <c r="F22" s="29"/>
    </row>
    <row r="23" spans="3:6" s="28" customFormat="1">
      <c r="C23" s="31"/>
      <c r="F23" s="29"/>
    </row>
    <row r="24" spans="3:6" s="28" customFormat="1">
      <c r="C24" s="31"/>
      <c r="F24" s="29"/>
    </row>
    <row r="25" spans="3:6" s="28" customFormat="1">
      <c r="C25" s="31"/>
    </row>
    <row r="26" spans="3:6" s="28" customFormat="1">
      <c r="C26" s="31"/>
    </row>
    <row r="27" spans="3:6" s="28" customFormat="1">
      <c r="C27" s="31"/>
    </row>
    <row r="28" spans="3:6" s="28" customFormat="1">
      <c r="C28" s="31"/>
    </row>
    <row r="29" spans="3:6" s="28" customFormat="1">
      <c r="C29" s="31"/>
    </row>
    <row r="30" spans="3:6" s="28" customFormat="1">
      <c r="C30" s="31"/>
    </row>
    <row r="31" spans="3:6" s="28" customFormat="1">
      <c r="C31" s="31"/>
    </row>
    <row r="32" spans="3:6" s="28" customFormat="1">
      <c r="C32" s="31"/>
    </row>
    <row r="33" spans="3:3" s="28" customFormat="1">
      <c r="C33" s="31"/>
    </row>
    <row r="34" spans="3:3" s="28" customFormat="1">
      <c r="C34" s="31"/>
    </row>
    <row r="35" spans="3:3" s="28" customFormat="1">
      <c r="C35" s="31"/>
    </row>
    <row r="36" spans="3:3" s="28" customFormat="1">
      <c r="C36" s="31"/>
    </row>
    <row r="37" spans="3:3" s="28" customFormat="1">
      <c r="C37" s="31"/>
    </row>
    <row r="38" spans="3:3" s="28" customFormat="1">
      <c r="C38" s="31"/>
    </row>
    <row r="39" spans="3:3">
      <c r="C39" s="26"/>
    </row>
    <row r="40" spans="3:3">
      <c r="C40" s="26"/>
    </row>
    <row r="41" spans="3:3">
      <c r="C41" s="26"/>
    </row>
    <row r="42" spans="3:3">
      <c r="C42" s="26"/>
    </row>
  </sheetData>
  <phoneticPr fontId="24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&amp;L&amp;F&amp;A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2:N172"/>
  <sheetViews>
    <sheetView zoomScale="80" zoomScaleNormal="80" workbookViewId="0">
      <selection activeCell="C36" sqref="C36"/>
    </sheetView>
  </sheetViews>
  <sheetFormatPr defaultRowHeight="13.5"/>
  <cols>
    <col min="1" max="1" width="4.125" style="11" customWidth="1"/>
    <col min="2" max="2" width="9.375" style="11" customWidth="1"/>
    <col min="3" max="10" width="8.75" style="11" customWidth="1"/>
    <col min="11" max="12" width="8.25" style="11" customWidth="1"/>
    <col min="13" max="16384" width="9" style="11"/>
  </cols>
  <sheetData>
    <row r="2" spans="2:14" s="32" customFormat="1" ht="18.75">
      <c r="B2" s="33" t="str">
        <f>BkTitle1</f>
        <v>SRIMfit_dbg</v>
      </c>
      <c r="E2" s="60" t="str">
        <f>BkTitle2</f>
        <v>AddInマクロ版 : セル内の式 = srFuncName()</v>
      </c>
    </row>
    <row r="3" spans="2:14" ht="6" customHeight="1"/>
    <row r="4" spans="2:14" ht="14.25">
      <c r="B4" s="34" t="s">
        <v>428</v>
      </c>
      <c r="G4" s="11" t="s">
        <v>427</v>
      </c>
    </row>
    <row r="5" spans="2:14">
      <c r="B5" s="2"/>
      <c r="C5" s="3"/>
      <c r="D5" s="1"/>
      <c r="E5" s="3"/>
      <c r="F5" s="1"/>
      <c r="G5" s="1"/>
      <c r="H5" s="1"/>
      <c r="I5" s="1"/>
    </row>
    <row r="6" spans="2:14">
      <c r="B6" s="12" t="s">
        <v>426</v>
      </c>
      <c r="C6" s="667" t="s">
        <v>429</v>
      </c>
      <c r="D6" s="339"/>
      <c r="E6" s="13" t="s">
        <v>9</v>
      </c>
      <c r="H6" s="14"/>
      <c r="I6" s="15"/>
      <c r="J6" s="14"/>
      <c r="K6" s="14"/>
      <c r="L6" s="4"/>
    </row>
    <row r="7" spans="2:14">
      <c r="B7" s="16"/>
      <c r="C7" s="5"/>
      <c r="D7" s="5"/>
      <c r="E7" s="35"/>
      <c r="F7" s="36"/>
      <c r="G7" s="36"/>
      <c r="H7" s="37"/>
      <c r="I7" s="6"/>
      <c r="J7" s="17"/>
      <c r="K7" s="17"/>
      <c r="L7" s="14"/>
      <c r="M7" s="36"/>
    </row>
    <row r="8" spans="2:14">
      <c r="B8" s="90" t="s">
        <v>425</v>
      </c>
      <c r="C8" s="666" t="str">
        <f>[1]!srInfoWScorded(C6)</f>
        <v>Ayoshida.RIKEN 2015.07</v>
      </c>
      <c r="E8" s="6" t="s">
        <v>424</v>
      </c>
      <c r="F8" s="665" t="str">
        <f>IF([1]!srInfoTgIsGas(C6),"Gas","")</f>
        <v/>
      </c>
      <c r="G8" s="649" t="s">
        <v>423</v>
      </c>
      <c r="H8" s="649"/>
      <c r="I8" s="649"/>
      <c r="J8" s="36"/>
      <c r="K8" s="14"/>
      <c r="L8" s="14"/>
      <c r="M8" s="36"/>
    </row>
    <row r="9" spans="2:14">
      <c r="B9" s="18" t="s">
        <v>422</v>
      </c>
      <c r="C9" s="664" t="str">
        <f>[1]!srInfoVer(C6)</f>
        <v>SRIM-2013.00</v>
      </c>
      <c r="D9" s="663"/>
      <c r="E9" s="662"/>
      <c r="F9" s="661" t="s">
        <v>421</v>
      </c>
      <c r="G9" s="661" t="s">
        <v>421</v>
      </c>
      <c r="H9" s="661" t="s">
        <v>420</v>
      </c>
      <c r="I9" s="661" t="s">
        <v>419</v>
      </c>
      <c r="J9" s="4"/>
      <c r="K9" s="645" t="s">
        <v>418</v>
      </c>
      <c r="L9" s="4"/>
      <c r="M9" s="4"/>
    </row>
    <row r="10" spans="2:14">
      <c r="B10" s="20" t="s">
        <v>417</v>
      </c>
      <c r="C10" s="656">
        <f>[1]!srInfoIonZ(C6)</f>
        <v>18</v>
      </c>
      <c r="D10" s="650" t="str">
        <f>[1]!srElmNm(C10)</f>
        <v>Ar</v>
      </c>
      <c r="E10" s="662"/>
      <c r="F10" s="661" t="s">
        <v>416</v>
      </c>
      <c r="G10" s="661" t="s">
        <v>415</v>
      </c>
      <c r="H10" s="661" t="s">
        <v>414</v>
      </c>
      <c r="I10" s="661" t="s">
        <v>414</v>
      </c>
      <c r="J10" s="2" t="s">
        <v>143</v>
      </c>
      <c r="K10" s="3" t="s">
        <v>413</v>
      </c>
      <c r="L10" s="660"/>
      <c r="M10" s="660"/>
    </row>
    <row r="11" spans="2:14">
      <c r="B11" s="20" t="s">
        <v>412</v>
      </c>
      <c r="C11" s="656">
        <f>[1]!srInfoIonA(C6)</f>
        <v>40</v>
      </c>
      <c r="D11" s="653"/>
      <c r="E11" s="6">
        <v>0</v>
      </c>
      <c r="F11" s="659" t="str">
        <f>[1]!srInfoTgCmAtmNm(C6,E11)</f>
        <v>Si</v>
      </c>
      <c r="G11" s="658">
        <f>[1]!srInfoTgCmAtmNo(C6,E11)</f>
        <v>14</v>
      </c>
      <c r="H11" s="658">
        <f>[1]!srInfoTgCmAtmPct(C6,E11)</f>
        <v>100</v>
      </c>
      <c r="I11" s="657">
        <f>[1]!srInfoTgCmMasPct(C6,E11)</f>
        <v>100</v>
      </c>
      <c r="J11" s="1">
        <v>1</v>
      </c>
      <c r="K11" s="164">
        <f>[1]!srLETCnvF(C6,J11)</f>
        <v>23.210999999999999</v>
      </c>
      <c r="L11" s="645" t="s">
        <v>411</v>
      </c>
      <c r="M11" s="649"/>
    </row>
    <row r="12" spans="2:14">
      <c r="B12" s="20" t="s">
        <v>410</v>
      </c>
      <c r="C12" s="656" t="str">
        <f>[1]!srInfoTrgName(C6)</f>
        <v>Si</v>
      </c>
      <c r="D12" s="93"/>
      <c r="E12" s="6">
        <f t="shared" ref="E12:E18" si="0">E11+1</f>
        <v>1</v>
      </c>
      <c r="F12" s="651" t="str">
        <f>[1]!srInfoTgCmAtmNm(C6,E12)</f>
        <v/>
      </c>
      <c r="G12" s="616">
        <f>[1]!srInfoTgCmAtmNo(C6,E12)</f>
        <v>0</v>
      </c>
      <c r="H12" s="616">
        <f>[1]!srInfoTgCmAtmPct(C6,E12)</f>
        <v>0</v>
      </c>
      <c r="I12" s="650">
        <f>[1]!srInfoTgCmMasPct(C6,E12)</f>
        <v>0</v>
      </c>
      <c r="J12" s="1">
        <v>2</v>
      </c>
      <c r="K12" s="165">
        <f>[1]!srLETCnvF(C6,J12)</f>
        <v>232.11</v>
      </c>
      <c r="L12" s="645" t="s">
        <v>409</v>
      </c>
      <c r="M12" s="649"/>
    </row>
    <row r="13" spans="2:14">
      <c r="B13" s="20"/>
      <c r="C13" s="656" t="str">
        <f>[1]!srInfoTrgNameL(C6)</f>
        <v>Silicon</v>
      </c>
      <c r="D13" s="93"/>
      <c r="E13" s="6">
        <f t="shared" si="0"/>
        <v>2</v>
      </c>
      <c r="F13" s="651" t="str">
        <f>[1]!srInfoTgCmAtmNm(C6,E13)</f>
        <v/>
      </c>
      <c r="G13" s="616">
        <f>[1]!srInfoTgCmAtmNo(C6,E13)</f>
        <v>0</v>
      </c>
      <c r="H13" s="616">
        <f>[1]!srInfoTgCmAtmPct(C6,E13)</f>
        <v>0</v>
      </c>
      <c r="I13" s="650">
        <f>[1]!srInfoTgCmMasPct(C6,E13)</f>
        <v>0</v>
      </c>
      <c r="J13" s="1">
        <v>3</v>
      </c>
      <c r="K13" s="165">
        <f>[1]!srLETCnvF(C6,J13)</f>
        <v>232.11</v>
      </c>
      <c r="L13" s="645" t="s">
        <v>408</v>
      </c>
      <c r="M13" s="649"/>
    </row>
    <row r="14" spans="2:14">
      <c r="B14" s="20" t="s">
        <v>407</v>
      </c>
      <c r="C14" s="654">
        <f>[1]!srInfoTrgDens(C6)</f>
        <v>2.3212000000000002</v>
      </c>
      <c r="D14" s="655" t="s">
        <v>144</v>
      </c>
      <c r="E14" s="6">
        <f t="shared" si="0"/>
        <v>3</v>
      </c>
      <c r="F14" s="651" t="str">
        <f>[1]!srInfoTgCmAtmNm(C6,E14)</f>
        <v/>
      </c>
      <c r="G14" s="616">
        <f>[1]!srInfoTgCmAtmNo(C6,E14)</f>
        <v>0</v>
      </c>
      <c r="H14" s="616">
        <f>[1]!srInfoTgCmAtmPct(C6,E14)</f>
        <v>0</v>
      </c>
      <c r="I14" s="650">
        <f>[1]!srInfoTgCmMasPct(C6,E14)</f>
        <v>0</v>
      </c>
      <c r="J14" s="1">
        <v>4</v>
      </c>
      <c r="K14" s="165">
        <f>[1]!srLETCnvF(C6,J14)</f>
        <v>1</v>
      </c>
      <c r="L14" s="645" t="s">
        <v>406</v>
      </c>
      <c r="M14" s="649"/>
    </row>
    <row r="15" spans="2:14">
      <c r="B15" s="20"/>
      <c r="C15" s="654">
        <f>[1]!srInfoTrgDensA(C6)</f>
        <v>4.9770000000000002E+22</v>
      </c>
      <c r="D15" s="653" t="s">
        <v>145</v>
      </c>
      <c r="E15" s="6">
        <f t="shared" si="0"/>
        <v>4</v>
      </c>
      <c r="F15" s="651" t="str">
        <f>[1]!srInfoTgCmAtmNm(C6,E15)</f>
        <v/>
      </c>
      <c r="G15" s="616">
        <f>[1]!srInfoTgCmAtmNo(C6,E15)</f>
        <v>0</v>
      </c>
      <c r="H15" s="616">
        <f>[1]!srInfoTgCmAtmPct(C6,E15)</f>
        <v>0</v>
      </c>
      <c r="I15" s="650">
        <f>[1]!srInfoTgCmMasPct(C6,E15)</f>
        <v>0</v>
      </c>
      <c r="J15" s="1">
        <v>5</v>
      </c>
      <c r="K15" s="165">
        <f>[1]!srLETCnvF(C6,J15)</f>
        <v>1</v>
      </c>
      <c r="L15" s="645" t="s">
        <v>405</v>
      </c>
      <c r="M15" s="649"/>
      <c r="N15" s="10"/>
    </row>
    <row r="16" spans="2:14">
      <c r="B16" s="21" t="s">
        <v>404</v>
      </c>
      <c r="C16" s="652">
        <f>[1]!srInfoBrgC(C6)</f>
        <v>-6.5699999999999995E-2</v>
      </c>
      <c r="D16" s="42"/>
      <c r="E16" s="6">
        <f t="shared" si="0"/>
        <v>5</v>
      </c>
      <c r="F16" s="651" t="str">
        <f>[1]!srInfoTgCmAtmNm(C6,E16)</f>
        <v/>
      </c>
      <c r="G16" s="616">
        <f>[1]!srInfoTgCmAtmNo(C6,E16)</f>
        <v>0</v>
      </c>
      <c r="H16" s="616">
        <f>[1]!srInfoTgCmAtmPct(C6,E16)</f>
        <v>0</v>
      </c>
      <c r="I16" s="650">
        <f>[1]!srInfoTgCmMasPct(C6,E16)</f>
        <v>0</v>
      </c>
      <c r="J16" s="1">
        <v>6</v>
      </c>
      <c r="K16" s="165">
        <f>[1]!srLETCnvF(C6,J16)</f>
        <v>1000</v>
      </c>
      <c r="L16" s="645" t="s">
        <v>403</v>
      </c>
      <c r="M16" s="649"/>
      <c r="N16" s="10"/>
    </row>
    <row r="17" spans="1:14">
      <c r="B17" s="6"/>
      <c r="C17" s="6"/>
      <c r="D17" s="5"/>
      <c r="E17" s="6">
        <f t="shared" si="0"/>
        <v>6</v>
      </c>
      <c r="F17" s="651" t="str">
        <f>[1]!srInfoTgCmAtmNm(C6,E17)</f>
        <v/>
      </c>
      <c r="G17" s="616">
        <f>[1]!srInfoTgCmAtmNo(C6,E17)</f>
        <v>0</v>
      </c>
      <c r="H17" s="616">
        <f>[1]!srInfoTgCmAtmPct(C6,E17)</f>
        <v>0</v>
      </c>
      <c r="I17" s="650">
        <f>[1]!srInfoTgCmMasPct(C6,E17)</f>
        <v>0</v>
      </c>
      <c r="J17" s="1">
        <v>7</v>
      </c>
      <c r="K17" s="165">
        <f>[1]!srLETCnvF(C6,J17)</f>
        <v>46.637</v>
      </c>
      <c r="L17" s="645" t="s">
        <v>402</v>
      </c>
      <c r="M17" s="649"/>
      <c r="N17" s="10"/>
    </row>
    <row r="18" spans="1:14">
      <c r="B18" s="2" t="s">
        <v>401</v>
      </c>
      <c r="C18" s="43" t="s">
        <v>400</v>
      </c>
      <c r="D18" s="43" t="s">
        <v>399</v>
      </c>
      <c r="E18" s="6">
        <f t="shared" si="0"/>
        <v>7</v>
      </c>
      <c r="F18" s="648" t="str">
        <f>[1]!srInfoTgCmAtmNm(C6,E18)</f>
        <v/>
      </c>
      <c r="G18" s="647">
        <f>[1]!srInfoTgCmAtmNo(C6,E18)</f>
        <v>0</v>
      </c>
      <c r="H18" s="647">
        <f>[1]!srInfoTgCmAtmPct(C6,E18)</f>
        <v>0</v>
      </c>
      <c r="I18" s="646">
        <f>[1]!srInfoTgCmMasPct(C6,E18)</f>
        <v>0</v>
      </c>
      <c r="J18" s="1">
        <v>8</v>
      </c>
      <c r="K18" s="166">
        <f>[1]!srLETCnvF(C6,J18)</f>
        <v>0.13255</v>
      </c>
      <c r="L18" s="645" t="s">
        <v>398</v>
      </c>
      <c r="M18" s="1"/>
      <c r="N18" s="10"/>
    </row>
    <row r="19" spans="1:14">
      <c r="B19" s="18" t="s">
        <v>397</v>
      </c>
      <c r="C19" s="644">
        <f>[1]!srMinE(C6)</f>
        <v>9.9999750000000008E-6</v>
      </c>
      <c r="D19" s="643">
        <f>[1]!srMaxE(C6)</f>
        <v>1000</v>
      </c>
      <c r="E19" s="5"/>
      <c r="F19" s="5"/>
      <c r="G19" s="6" t="s">
        <v>396</v>
      </c>
      <c r="H19" s="642">
        <f>SUM(H11:H18)</f>
        <v>100</v>
      </c>
      <c r="I19" s="642">
        <f>SUM(I11:I18)</f>
        <v>100</v>
      </c>
      <c r="J19" s="1">
        <v>0</v>
      </c>
      <c r="K19" s="7" t="s">
        <v>146</v>
      </c>
      <c r="L19" s="167"/>
      <c r="M19" s="1"/>
      <c r="N19" s="10"/>
    </row>
    <row r="20" spans="1:14">
      <c r="B20" s="20" t="s">
        <v>395</v>
      </c>
      <c r="C20" s="46">
        <f>[1]!srMinRng(C6)</f>
        <v>2.1000000000000003E-3</v>
      </c>
      <c r="D20" s="47">
        <f>[1]!srMaxRng(C6)</f>
        <v>206820</v>
      </c>
      <c r="E20" s="5"/>
      <c r="F20" s="638" t="s">
        <v>394</v>
      </c>
      <c r="G20" s="641" t="b">
        <f>[1]!srInfoTgIsGas(C6)</f>
        <v>0</v>
      </c>
      <c r="H20" s="640"/>
      <c r="I20" s="5"/>
      <c r="J20" s="40"/>
      <c r="K20" s="41"/>
      <c r="L20" s="36"/>
      <c r="M20" s="36"/>
      <c r="N20" s="10"/>
    </row>
    <row r="21" spans="1:14">
      <c r="B21" s="20" t="s">
        <v>393</v>
      </c>
      <c r="C21" s="46">
        <f>[1]!srMinStLng(C6)</f>
        <v>1.2000000000000001E-3</v>
      </c>
      <c r="D21" s="47">
        <f>[1]!srMaxStLng(C6)</f>
        <v>7170</v>
      </c>
      <c r="E21" s="40"/>
      <c r="F21" s="638" t="s">
        <v>392</v>
      </c>
      <c r="G21" s="639">
        <f>[1]!srInfoTrgPtbl(C6)</f>
        <v>0</v>
      </c>
      <c r="H21" s="40"/>
      <c r="I21" s="40"/>
      <c r="J21" s="40"/>
      <c r="K21" s="41"/>
      <c r="L21" s="36"/>
      <c r="M21" s="36"/>
      <c r="N21" s="10"/>
    </row>
    <row r="22" spans="1:14">
      <c r="B22" s="21" t="s">
        <v>391</v>
      </c>
      <c r="C22" s="48">
        <f>[1]!srMinStLtr(C6)</f>
        <v>8.9999999999999998E-4</v>
      </c>
      <c r="D22" s="49">
        <f>[1]!srMaxStLtr(C6)</f>
        <v>894.31</v>
      </c>
      <c r="E22" s="40"/>
      <c r="F22" s="638" t="s">
        <v>390</v>
      </c>
      <c r="G22" s="637">
        <f>[1]!srInfoTrgTtbl(C6)</f>
        <v>0</v>
      </c>
      <c r="H22" s="36"/>
      <c r="I22" s="636"/>
      <c r="J22" s="40"/>
      <c r="K22" s="41"/>
      <c r="L22" s="36"/>
      <c r="M22" s="36"/>
      <c r="N22" s="10"/>
    </row>
    <row r="23" spans="1:14">
      <c r="B23" s="6"/>
      <c r="C23" s="635"/>
      <c r="D23" s="45"/>
      <c r="E23" s="39"/>
      <c r="F23" s="40"/>
      <c r="G23" s="38"/>
      <c r="H23" s="36"/>
      <c r="I23" s="40"/>
      <c r="J23" s="38"/>
      <c r="K23" s="36"/>
      <c r="L23" s="36"/>
      <c r="M23" s="36"/>
      <c r="N23" s="10"/>
    </row>
    <row r="24" spans="1:14">
      <c r="B24" s="12" t="s">
        <v>389</v>
      </c>
      <c r="C24" s="634">
        <v>0</v>
      </c>
      <c r="D24" s="22" t="s">
        <v>388</v>
      </c>
      <c r="E24" s="39"/>
      <c r="F24" s="40"/>
      <c r="G24" s="39"/>
      <c r="H24" s="36"/>
      <c r="I24" s="40"/>
      <c r="J24" s="39"/>
      <c r="K24" s="36"/>
      <c r="L24" s="36"/>
      <c r="M24" s="36"/>
      <c r="N24" s="10"/>
    </row>
    <row r="25" spans="1:14">
      <c r="B25" s="52"/>
      <c r="C25" s="50" t="s">
        <v>387</v>
      </c>
      <c r="D25" s="50" t="s">
        <v>386</v>
      </c>
      <c r="E25" s="51" t="s">
        <v>385</v>
      </c>
      <c r="F25" s="5"/>
      <c r="G25" s="39"/>
      <c r="H25" s="36"/>
      <c r="I25" s="40"/>
      <c r="J25" s="39"/>
      <c r="K25" s="36"/>
      <c r="L25" s="36"/>
      <c r="M25" s="36"/>
      <c r="N25" s="10"/>
    </row>
    <row r="26" spans="1:14">
      <c r="B26" s="625" t="s">
        <v>384</v>
      </c>
      <c r="C26" s="632">
        <f>[1]!srMaxLETt(C6,C24)</f>
        <v>18.666679999999999</v>
      </c>
      <c r="D26" s="632">
        <f>[1]!srMaxLETe(C6,C24)</f>
        <v>18.63</v>
      </c>
      <c r="E26" s="633">
        <f>[1]!srMaxLETn(C6,C24)</f>
        <v>2.5070000000000001</v>
      </c>
      <c r="F26" s="5" t="s">
        <v>382</v>
      </c>
      <c r="G26" s="36"/>
      <c r="H26" s="36"/>
      <c r="I26" s="36"/>
      <c r="J26" s="36"/>
      <c r="K26" s="36"/>
      <c r="L26" s="36"/>
      <c r="M26" s="36"/>
      <c r="N26" s="10"/>
    </row>
    <row r="27" spans="1:14">
      <c r="B27" s="20" t="s">
        <v>383</v>
      </c>
      <c r="C27" s="632">
        <f>[1]!srMaxLETt2E(C6)</f>
        <v>1.125</v>
      </c>
      <c r="D27" s="632">
        <f>[1]!srMaxLETe2E(C6)</f>
        <v>1.25</v>
      </c>
      <c r="E27" s="631">
        <f>[1]!srMaxLETn2E(C6)</f>
        <v>5.6249999999999996E-4</v>
      </c>
      <c r="F27" s="5" t="s">
        <v>221</v>
      </c>
      <c r="G27" s="630"/>
      <c r="H27" s="626"/>
      <c r="I27" s="626"/>
      <c r="J27" s="626"/>
      <c r="K27" s="626"/>
      <c r="L27" s="36"/>
      <c r="M27" s="36"/>
    </row>
    <row r="28" spans="1:14">
      <c r="B28" s="629">
        <v>0.7</v>
      </c>
      <c r="C28" s="628">
        <f>C26*B28</f>
        <v>13.066675999999999</v>
      </c>
      <c r="D28" s="628">
        <f>D26*B28</f>
        <v>13.040999999999999</v>
      </c>
      <c r="E28" s="627">
        <f>E26*B28</f>
        <v>1.7548999999999999</v>
      </c>
      <c r="F28" s="5" t="s">
        <v>382</v>
      </c>
      <c r="G28" s="622"/>
      <c r="H28" s="626"/>
      <c r="I28" s="626"/>
      <c r="J28" s="626"/>
      <c r="K28" s="626"/>
      <c r="L28" s="36"/>
      <c r="M28" s="36"/>
    </row>
    <row r="29" spans="1:14">
      <c r="B29" s="625" t="s">
        <v>381</v>
      </c>
      <c r="C29" s="624">
        <f>[1]!srLETt2E(C6,C28,C24,-1)</f>
        <v>0.22633339406084893</v>
      </c>
      <c r="D29" s="624">
        <f>[1]!srLETe2E(C6,D28,C24,-1)</f>
        <v>0.23129464285714277</v>
      </c>
      <c r="E29" s="623">
        <f>[1]!srLETn2E(C6,E28,C24,1)</f>
        <v>4.0693750000000009E-3</v>
      </c>
      <c r="F29" s="5" t="s">
        <v>221</v>
      </c>
      <c r="G29" s="622"/>
      <c r="H29" s="36"/>
      <c r="I29" s="36"/>
      <c r="J29" s="36"/>
      <c r="K29" s="36"/>
      <c r="L29" s="36"/>
      <c r="M29" s="36"/>
    </row>
    <row r="30" spans="1:14">
      <c r="B30" s="621" t="s">
        <v>380</v>
      </c>
      <c r="C30" s="620">
        <f>[1]!srLETt2E(C6,C28,C24,1)</f>
        <v>5.6275498969399615</v>
      </c>
      <c r="D30" s="620">
        <f>[1]!srLETe2E(C6,D28,C24,1)</f>
        <v>5.6444672131147557</v>
      </c>
      <c r="E30" s="619">
        <f>[1]!srLETn2E(C6,E28,C24,-1)</f>
        <v>5.9068396226415072E-5</v>
      </c>
      <c r="F30" s="5" t="s">
        <v>221</v>
      </c>
      <c r="G30" s="36"/>
      <c r="H30" s="36"/>
      <c r="I30" s="36"/>
      <c r="J30" s="36"/>
      <c r="K30" s="36"/>
      <c r="L30" s="36"/>
      <c r="M30" s="36"/>
    </row>
    <row r="31" spans="1:14">
      <c r="B31" s="618"/>
      <c r="C31" s="617"/>
      <c r="D31" s="616"/>
      <c r="E31" s="5"/>
      <c r="F31" s="5"/>
      <c r="G31" s="36"/>
      <c r="H31" s="36"/>
      <c r="I31" s="36"/>
      <c r="J31" s="36"/>
      <c r="K31" s="36"/>
      <c r="L31" s="36"/>
      <c r="M31" s="36"/>
    </row>
    <row r="32" spans="1:14">
      <c r="A32" s="9"/>
      <c r="B32" s="615">
        <v>10</v>
      </c>
      <c r="C32" s="151" t="s">
        <v>379</v>
      </c>
      <c r="D32" s="5"/>
      <c r="E32" s="5"/>
      <c r="F32" s="5"/>
      <c r="G32" s="9"/>
      <c r="H32" s="9"/>
    </row>
    <row r="33" spans="1:8">
      <c r="A33" s="9"/>
      <c r="B33" s="614">
        <v>1</v>
      </c>
      <c r="C33" s="151" t="s">
        <v>378</v>
      </c>
      <c r="D33" s="5"/>
      <c r="E33" s="5"/>
      <c r="F33" s="5"/>
      <c r="G33" s="9"/>
      <c r="H33" s="9"/>
    </row>
    <row r="34" spans="1:8">
      <c r="A34" s="9"/>
      <c r="B34" s="57" t="s">
        <v>375</v>
      </c>
      <c r="C34" s="53" t="s">
        <v>374</v>
      </c>
      <c r="D34" s="54" t="s">
        <v>373</v>
      </c>
      <c r="E34" s="56" t="s">
        <v>372</v>
      </c>
      <c r="F34" s="55" t="s">
        <v>371</v>
      </c>
      <c r="G34" s="53" t="s">
        <v>370</v>
      </c>
      <c r="H34" s="56" t="s">
        <v>369</v>
      </c>
    </row>
    <row r="35" spans="1:8">
      <c r="A35" s="9"/>
      <c r="B35" s="58" t="s">
        <v>368</v>
      </c>
      <c r="C35" s="610" t="s">
        <v>367</v>
      </c>
      <c r="D35" s="609"/>
      <c r="E35" s="42"/>
      <c r="F35" s="608" t="s">
        <v>366</v>
      </c>
      <c r="G35" s="607" t="s">
        <v>366</v>
      </c>
      <c r="H35" s="606" t="s">
        <v>366</v>
      </c>
    </row>
    <row r="36" spans="1:8">
      <c r="A36" s="605"/>
      <c r="B36" s="613">
        <f>B32</f>
        <v>10</v>
      </c>
      <c r="C36" s="603">
        <f>[1]!srE2LETe($C$6,B36,0)</f>
        <v>9.74</v>
      </c>
      <c r="D36" s="603">
        <f>[1]!srE2LETn($C$6,B36,0)</f>
        <v>5.5240000000000003E-3</v>
      </c>
      <c r="E36" s="603">
        <f>[1]!srE2LETt($C$6,B36,0)</f>
        <v>9.7455239999999996</v>
      </c>
      <c r="F36" s="603">
        <f>[1]!srE2Rng($C$6,B36)</f>
        <v>130.47</v>
      </c>
      <c r="G36" s="603">
        <f>[1]!srE2StLng($C$6,B36)</f>
        <v>4.18</v>
      </c>
      <c r="H36" s="603">
        <f>[1]!srE2StLtr($C$6,B36)</f>
        <v>1.31</v>
      </c>
    </row>
    <row r="37" spans="1:8">
      <c r="B37" s="613">
        <f t="shared" ref="B37:B68" si="1">B36+B$33</f>
        <v>11</v>
      </c>
      <c r="C37" s="603">
        <f>[1]!srE2LETe($C$6,B37,0)</f>
        <v>9.2216000000000005</v>
      </c>
      <c r="D37" s="603">
        <f>[1]!srE2LETn($C$6,B37,0)</f>
        <v>5.0863999999999996E-3</v>
      </c>
      <c r="E37" s="603">
        <f>[1]!srE2LETt($C$6,B37,0)</f>
        <v>9.2266864000000002</v>
      </c>
      <c r="F37" s="603">
        <f>[1]!srE2Rng($C$6,B37)</f>
        <v>148.774</v>
      </c>
      <c r="G37" s="603">
        <f>[1]!srE2StLng($C$6,B37)</f>
        <v>5.0679999999999996</v>
      </c>
      <c r="H37" s="603">
        <f>[1]!srE2StLtr($C$6,B37)</f>
        <v>1.4219999999999999</v>
      </c>
    </row>
    <row r="38" spans="1:8">
      <c r="B38" s="613">
        <f t="shared" si="1"/>
        <v>12</v>
      </c>
      <c r="C38" s="603">
        <f>[1]!srE2LETe($C$6,B38,0)</f>
        <v>8.7547999999999995</v>
      </c>
      <c r="D38" s="603">
        <f>[1]!srE2LETn($C$6,B38,0)</f>
        <v>4.7105999999999997E-3</v>
      </c>
      <c r="E38" s="603">
        <f>[1]!srE2LETt($C$6,B38,0)</f>
        <v>8.7595106000000005</v>
      </c>
      <c r="F38" s="603">
        <f>[1]!srE2Rng($C$6,B38)</f>
        <v>168.02600000000001</v>
      </c>
      <c r="G38" s="603">
        <f>[1]!srE2StLng($C$6,B38)</f>
        <v>5.9139999999999997</v>
      </c>
      <c r="H38" s="603">
        <f>[1]!srE2StLtr($C$6,B38)</f>
        <v>1.54</v>
      </c>
    </row>
    <row r="39" spans="1:8">
      <c r="B39" s="613">
        <f t="shared" si="1"/>
        <v>13</v>
      </c>
      <c r="C39" s="603">
        <f>[1]!srE2LETe($C$6,B39,0)</f>
        <v>8.3328000000000007</v>
      </c>
      <c r="D39" s="603">
        <f>[1]!srE2LETn($C$6,B39,0)</f>
        <v>4.3857999999999996E-3</v>
      </c>
      <c r="E39" s="603">
        <f>[1]!srE2LETt($C$6,B39,0)</f>
        <v>8.3371858000000003</v>
      </c>
      <c r="F39" s="603">
        <f>[1]!srE2Rng($C$6,B39)</f>
        <v>188.214</v>
      </c>
      <c r="G39" s="603">
        <f>[1]!srE2StLng($C$6,B39)</f>
        <v>6.73</v>
      </c>
      <c r="H39" s="603">
        <f>[1]!srE2StLtr($C$6,B39)</f>
        <v>1.6640000000000001</v>
      </c>
    </row>
    <row r="40" spans="1:8">
      <c r="B40" s="613">
        <f t="shared" si="1"/>
        <v>14</v>
      </c>
      <c r="C40" s="603">
        <f>[1]!srE2LETe($C$6,B40,0)</f>
        <v>7.9498000000000006</v>
      </c>
      <c r="D40" s="603">
        <f>[1]!srE2LETn($C$6,B40,0)</f>
        <v>4.1029999999999999E-3</v>
      </c>
      <c r="E40" s="603">
        <f>[1]!srE2LETt($C$6,B40,0)</f>
        <v>7.9539030000000013</v>
      </c>
      <c r="F40" s="603">
        <f>[1]!srE2Rng($C$6,B40)</f>
        <v>209.32999999999998</v>
      </c>
      <c r="G40" s="603">
        <f>[1]!srE2StLng($C$6,B40)</f>
        <v>7.5259999999999998</v>
      </c>
      <c r="H40" s="603">
        <f>[1]!srE2StLtr($C$6,B40)</f>
        <v>1.794</v>
      </c>
    </row>
    <row r="41" spans="1:8">
      <c r="B41" s="613">
        <f t="shared" si="1"/>
        <v>15</v>
      </c>
      <c r="C41" s="603">
        <f>[1]!srE2LETe($C$6,B41,0)</f>
        <v>7.601</v>
      </c>
      <c r="D41" s="603">
        <f>[1]!srE2LETn($C$6,B41,0)</f>
        <v>3.8549999999999999E-3</v>
      </c>
      <c r="E41" s="603">
        <f>[1]!srE2LETt($C$6,B41,0)</f>
        <v>7.6048549999999997</v>
      </c>
      <c r="F41" s="603">
        <f>[1]!srE2Rng($C$6,B41)</f>
        <v>231.37</v>
      </c>
      <c r="G41" s="603">
        <f>[1]!srE2StLng($C$6,B41)</f>
        <v>8.31</v>
      </c>
      <c r="H41" s="603">
        <f>[1]!srE2StLtr($C$6,B41)</f>
        <v>1.93</v>
      </c>
    </row>
    <row r="42" spans="1:8">
      <c r="B42" s="613">
        <f t="shared" si="1"/>
        <v>16</v>
      </c>
      <c r="C42" s="603">
        <f>[1]!srE2LETe($C$6,B42,0)</f>
        <v>7.2906000000000004</v>
      </c>
      <c r="D42" s="603">
        <f>[1]!srE2LETn($C$6,B42,0)</f>
        <v>3.643E-3</v>
      </c>
      <c r="E42" s="603">
        <f>[1]!srE2LETt($C$6,B42,0)</f>
        <v>7.2942429999999998</v>
      </c>
      <c r="F42" s="603">
        <f>[1]!srE2Rng($C$6,B42)</f>
        <v>254.642</v>
      </c>
      <c r="G42" s="603">
        <f>[1]!srE2StLng($C$6,B42)</f>
        <v>9.0860000000000003</v>
      </c>
      <c r="H42" s="603">
        <f>[1]!srE2StLtr($C$6,B42)</f>
        <v>2.0739999999999998</v>
      </c>
    </row>
    <row r="43" spans="1:8">
      <c r="B43" s="613">
        <f t="shared" si="1"/>
        <v>17</v>
      </c>
      <c r="C43" s="603">
        <f>[1]!srE2LETe($C$6,B43,0)</f>
        <v>7.0042</v>
      </c>
      <c r="D43" s="603">
        <f>[1]!srE2LETn($C$6,B43,0)</f>
        <v>3.4520000000000002E-3</v>
      </c>
      <c r="E43" s="603">
        <f>[1]!srE2LETt($C$6,B43,0)</f>
        <v>7.0076520000000002</v>
      </c>
      <c r="F43" s="603">
        <f>[1]!srE2Rng($C$6,B43)</f>
        <v>278.82</v>
      </c>
      <c r="G43" s="603">
        <f>[1]!srE2StLng($C$6,B43)</f>
        <v>9.8620000000000001</v>
      </c>
      <c r="H43" s="603">
        <f>[1]!srE2StLtr($C$6,B43)</f>
        <v>2.2239999999999998</v>
      </c>
    </row>
    <row r="44" spans="1:8">
      <c r="B44" s="613">
        <f t="shared" si="1"/>
        <v>18</v>
      </c>
      <c r="C44" s="603">
        <f>[1]!srE2LETe($C$6,B44,0)</f>
        <v>6.7460000000000004</v>
      </c>
      <c r="D44" s="603">
        <f>[1]!srE2LETn($C$6,B44,0)</f>
        <v>3.2845999999999999E-3</v>
      </c>
      <c r="E44" s="603">
        <f>[1]!srE2LETt($C$6,B44,0)</f>
        <v>6.7492846000000002</v>
      </c>
      <c r="F44" s="603">
        <f>[1]!srE2Rng($C$6,B44)</f>
        <v>304.19200000000001</v>
      </c>
      <c r="G44" s="603">
        <f>[1]!srE2StLng($C$6,B44)</f>
        <v>10.969999999999999</v>
      </c>
      <c r="H44" s="603">
        <f>[1]!srE2StLtr($C$6,B44)</f>
        <v>2.3779999999999997</v>
      </c>
    </row>
    <row r="45" spans="1:8">
      <c r="B45" s="613">
        <f t="shared" si="1"/>
        <v>19</v>
      </c>
      <c r="C45" s="603">
        <f>[1]!srE2LETe($C$6,B45,0)</f>
        <v>6.508</v>
      </c>
      <c r="D45" s="603">
        <f>[1]!srE2LETn($C$6,B45,0)</f>
        <v>3.1338E-3</v>
      </c>
      <c r="E45" s="603">
        <f>[1]!srE2LETt($C$6,B45,0)</f>
        <v>6.5111337999999996</v>
      </c>
      <c r="F45" s="603">
        <f>[1]!srE2Rng($C$6,B45)</f>
        <v>330.45600000000002</v>
      </c>
      <c r="G45" s="603">
        <f>[1]!srE2StLng($C$6,B45)</f>
        <v>12.41</v>
      </c>
      <c r="H45" s="603">
        <f>[1]!srE2StLtr($C$6,B45)</f>
        <v>2.5339999999999998</v>
      </c>
    </row>
    <row r="46" spans="1:8">
      <c r="B46" s="613">
        <f t="shared" si="1"/>
        <v>20</v>
      </c>
      <c r="C46" s="603">
        <f>[1]!srE2LETe($C$6,B46,0)</f>
        <v>6.27</v>
      </c>
      <c r="D46" s="603">
        <f>[1]!srE2LETn($C$6,B46,0)</f>
        <v>2.983E-3</v>
      </c>
      <c r="E46" s="603">
        <f>[1]!srE2LETt($C$6,B46,0)</f>
        <v>6.272983</v>
      </c>
      <c r="F46" s="603">
        <f>[1]!srE2Rng($C$6,B46)</f>
        <v>356.72</v>
      </c>
      <c r="G46" s="603">
        <f>[1]!srE2StLng($C$6,B46)</f>
        <v>13.85</v>
      </c>
      <c r="H46" s="603">
        <f>[1]!srE2StLtr($C$6,B46)</f>
        <v>2.69</v>
      </c>
    </row>
    <row r="47" spans="1:8">
      <c r="B47" s="613">
        <f t="shared" si="1"/>
        <v>21</v>
      </c>
      <c r="C47" s="603">
        <f>[1]!srE2LETe($C$6,B47,0)</f>
        <v>6.0747999999999998</v>
      </c>
      <c r="D47" s="603">
        <f>[1]!srE2LETn($C$6,B47,0)</f>
        <v>2.8633999999999999E-3</v>
      </c>
      <c r="E47" s="603">
        <f>[1]!srE2LETt($C$6,B47,0)</f>
        <v>6.0776634000000005</v>
      </c>
      <c r="F47" s="603">
        <f>[1]!srE2Rng($C$6,B47)</f>
        <v>385.34000000000003</v>
      </c>
      <c r="G47" s="603">
        <f>[1]!srE2StLng($C$6,B47)</f>
        <v>15.178000000000001</v>
      </c>
      <c r="H47" s="603">
        <f>[1]!srE2StLtr($C$6,B47)</f>
        <v>2.8660000000000001</v>
      </c>
    </row>
    <row r="48" spans="1:8">
      <c r="B48" s="613">
        <f t="shared" si="1"/>
        <v>22</v>
      </c>
      <c r="C48" s="603">
        <f>[1]!srE2LETe($C$6,B48,0)</f>
        <v>5.8795999999999999</v>
      </c>
      <c r="D48" s="603">
        <f>[1]!srE2LETn($C$6,B48,0)</f>
        <v>2.7438000000000002E-3</v>
      </c>
      <c r="E48" s="603">
        <f>[1]!srE2LETt($C$6,B48,0)</f>
        <v>5.8823438000000001</v>
      </c>
      <c r="F48" s="603">
        <f>[1]!srE2Rng($C$6,B48)</f>
        <v>413.96</v>
      </c>
      <c r="G48" s="603">
        <f>[1]!srE2StLng($C$6,B48)</f>
        <v>16.506</v>
      </c>
      <c r="H48" s="603">
        <f>[1]!srE2StLtr($C$6,B48)</f>
        <v>3.0419999999999998</v>
      </c>
    </row>
    <row r="49" spans="2:8">
      <c r="B49" s="613">
        <f t="shared" si="1"/>
        <v>23</v>
      </c>
      <c r="C49" s="603">
        <f>[1]!srE2LETe($C$6,B49,0)</f>
        <v>5.7013999999999996</v>
      </c>
      <c r="D49" s="603">
        <f>[1]!srE2LETn($C$6,B49,0)</f>
        <v>2.6358000000000002E-3</v>
      </c>
      <c r="E49" s="603">
        <f>[1]!srE2LETt($C$6,B49,0)</f>
        <v>5.7040358000000007</v>
      </c>
      <c r="F49" s="603">
        <f>[1]!srE2Rng($C$6,B49)</f>
        <v>443.71999999999997</v>
      </c>
      <c r="G49" s="603">
        <f>[1]!srE2StLng($C$6,B49)</f>
        <v>17.810000000000002</v>
      </c>
      <c r="H49" s="603">
        <f>[1]!srE2StLtr($C$6,B49)</f>
        <v>3.222</v>
      </c>
    </row>
    <row r="50" spans="2:8">
      <c r="B50" s="613">
        <f t="shared" si="1"/>
        <v>24</v>
      </c>
      <c r="C50" s="603">
        <f>[1]!srE2LETe($C$6,B50,0)</f>
        <v>5.5401999999999996</v>
      </c>
      <c r="D50" s="603">
        <f>[1]!srE2LETn($C$6,B50,0)</f>
        <v>2.5393999999999998E-3</v>
      </c>
      <c r="E50" s="603">
        <f>[1]!srE2LETt($C$6,B50,0)</f>
        <v>5.5427394000000003</v>
      </c>
      <c r="F50" s="603">
        <f>[1]!srE2Rng($C$6,B50)</f>
        <v>474.62</v>
      </c>
      <c r="G50" s="603">
        <f>[1]!srE2StLng($C$6,B50)</f>
        <v>19.09</v>
      </c>
      <c r="H50" s="603">
        <f>[1]!srE2StLtr($C$6,B50)</f>
        <v>3.4059999999999997</v>
      </c>
    </row>
    <row r="51" spans="2:8">
      <c r="B51" s="613">
        <f t="shared" si="1"/>
        <v>25</v>
      </c>
      <c r="C51" s="603">
        <f>[1]!srE2LETe($C$6,B51,0)</f>
        <v>5.3789999999999996</v>
      </c>
      <c r="D51" s="603">
        <f>[1]!srE2LETn($C$6,B51,0)</f>
        <v>2.4429999999999999E-3</v>
      </c>
      <c r="E51" s="603">
        <f>[1]!srE2LETt($C$6,B51,0)</f>
        <v>5.381443</v>
      </c>
      <c r="F51" s="603">
        <f>[1]!srE2Rng($C$6,B51)</f>
        <v>505.52</v>
      </c>
      <c r="G51" s="603">
        <f>[1]!srE2StLng($C$6,B51)</f>
        <v>20.37</v>
      </c>
      <c r="H51" s="603">
        <f>[1]!srE2StLtr($C$6,B51)</f>
        <v>3.59</v>
      </c>
    </row>
    <row r="52" spans="2:8">
      <c r="B52" s="613">
        <f t="shared" si="1"/>
        <v>26</v>
      </c>
      <c r="C52" s="603">
        <f>[1]!srE2LETe($C$6,B52,0)</f>
        <v>5.2454000000000001</v>
      </c>
      <c r="D52" s="603">
        <f>[1]!srE2LETn($C$6,B52,0)</f>
        <v>2.3630000000000001E-3</v>
      </c>
      <c r="E52" s="603">
        <f>[1]!srE2LETt($C$6,B52,0)</f>
        <v>5.247763</v>
      </c>
      <c r="F52" s="603">
        <f>[1]!srE2Rng($C$6,B52)</f>
        <v>538.596</v>
      </c>
      <c r="G52" s="603">
        <f>[1]!srE2StLng($C$6,B52)</f>
        <v>21.626000000000001</v>
      </c>
      <c r="H52" s="603">
        <f>[1]!srE2StLtr($C$6,B52)</f>
        <v>3.786</v>
      </c>
    </row>
    <row r="53" spans="2:8">
      <c r="B53" s="613">
        <f t="shared" si="1"/>
        <v>27</v>
      </c>
      <c r="C53" s="603">
        <f>[1]!srE2LETe($C$6,B53,0)</f>
        <v>5.1117999999999997</v>
      </c>
      <c r="D53" s="603">
        <f>[1]!srE2LETn($C$6,B53,0)</f>
        <v>2.2830000000000003E-3</v>
      </c>
      <c r="E53" s="603">
        <f>[1]!srE2LETt($C$6,B53,0)</f>
        <v>5.1140829999999999</v>
      </c>
      <c r="F53" s="603">
        <f>[1]!srE2Rng($C$6,B53)</f>
        <v>571.67200000000003</v>
      </c>
      <c r="G53" s="603">
        <f>[1]!srE2StLng($C$6,B53)</f>
        <v>22.882000000000001</v>
      </c>
      <c r="H53" s="603">
        <f>[1]!srE2StLtr($C$6,B53)</f>
        <v>3.9820000000000002</v>
      </c>
    </row>
    <row r="54" spans="2:8">
      <c r="B54" s="613">
        <f t="shared" si="1"/>
        <v>28</v>
      </c>
      <c r="C54" s="603">
        <f>[1]!srE2LETe($C$6,B54,0)</f>
        <v>4.9897999999999998</v>
      </c>
      <c r="D54" s="603">
        <f>[1]!srE2LETn($C$6,B54,0)</f>
        <v>2.2092000000000001E-3</v>
      </c>
      <c r="E54" s="603">
        <f>[1]!srE2LETt($C$6,B54,0)</f>
        <v>4.9920092</v>
      </c>
      <c r="F54" s="603">
        <f>[1]!srE2Rng($C$6,B54)</f>
        <v>605.774</v>
      </c>
      <c r="G54" s="603">
        <f>[1]!srE2StLng($C$6,B54)</f>
        <v>24.130000000000003</v>
      </c>
      <c r="H54" s="603">
        <f>[1]!srE2StLtr($C$6,B54)</f>
        <v>4.1840000000000002</v>
      </c>
    </row>
    <row r="55" spans="2:8">
      <c r="B55" s="613">
        <f t="shared" si="1"/>
        <v>29</v>
      </c>
      <c r="C55" s="603">
        <f>[1]!srE2LETe($C$6,B55,0)</f>
        <v>4.8794000000000004</v>
      </c>
      <c r="D55" s="603">
        <f>[1]!srE2LETn($C$6,B55,0)</f>
        <v>2.1416E-3</v>
      </c>
      <c r="E55" s="603">
        <f>[1]!srE2LETt($C$6,B55,0)</f>
        <v>4.8815416000000003</v>
      </c>
      <c r="F55" s="603">
        <f>[1]!srE2Rng($C$6,B55)</f>
        <v>640.90200000000004</v>
      </c>
      <c r="G55" s="603">
        <f>[1]!srE2StLng($C$6,B55)</f>
        <v>25.37</v>
      </c>
      <c r="H55" s="603">
        <f>[1]!srE2StLtr($C$6,B55)</f>
        <v>4.3919999999999995</v>
      </c>
    </row>
    <row r="56" spans="2:8">
      <c r="B56" s="613">
        <f t="shared" si="1"/>
        <v>30</v>
      </c>
      <c r="C56" s="603">
        <f>[1]!srE2LETe($C$6,B56,0)</f>
        <v>4.7690000000000001</v>
      </c>
      <c r="D56" s="603">
        <f>[1]!srE2LETn($C$6,B56,0)</f>
        <v>2.0739999999999999E-3</v>
      </c>
      <c r="E56" s="603">
        <f>[1]!srE2LETt($C$6,B56,0)</f>
        <v>4.7710740000000005</v>
      </c>
      <c r="F56" s="603">
        <f>[1]!srE2Rng($C$6,B56)</f>
        <v>676.03</v>
      </c>
      <c r="G56" s="603">
        <f>[1]!srE2StLng($C$6,B56)</f>
        <v>26.61</v>
      </c>
      <c r="H56" s="603">
        <f>[1]!srE2StLtr($C$6,B56)</f>
        <v>4.5999999999999996</v>
      </c>
    </row>
    <row r="57" spans="2:8">
      <c r="B57" s="613">
        <f t="shared" si="1"/>
        <v>31</v>
      </c>
      <c r="C57" s="603">
        <f>[1]!srE2LETe($C$6,B57,0)</f>
        <v>4.6630000000000003</v>
      </c>
      <c r="D57" s="603">
        <f>[1]!srE2LETn($C$6,B57,0)</f>
        <v>2.0163999999999998E-3</v>
      </c>
      <c r="E57" s="603">
        <f>[1]!srE2LETt($C$6,B57,0)</f>
        <v>4.6650163999999998</v>
      </c>
      <c r="F57" s="603">
        <f>[1]!srE2Rng($C$6,B57)</f>
        <v>713.20600000000002</v>
      </c>
      <c r="G57" s="603">
        <f>[1]!srE2StLng($C$6,B57)</f>
        <v>27.846</v>
      </c>
      <c r="H57" s="603">
        <f>[1]!srE2StLtr($C$6,B57)</f>
        <v>4.82</v>
      </c>
    </row>
    <row r="58" spans="2:8">
      <c r="B58" s="613">
        <f t="shared" si="1"/>
        <v>32</v>
      </c>
      <c r="C58" s="603">
        <f>[1]!srE2LETe($C$6,B58,0)</f>
        <v>4.5569999999999995</v>
      </c>
      <c r="D58" s="603">
        <f>[1]!srE2LETn($C$6,B58,0)</f>
        <v>1.9588000000000001E-3</v>
      </c>
      <c r="E58" s="603">
        <f>[1]!srE2LETt($C$6,B58,0)</f>
        <v>4.5589587999999992</v>
      </c>
      <c r="F58" s="603">
        <f>[1]!srE2Rng($C$6,B58)</f>
        <v>750.38200000000006</v>
      </c>
      <c r="G58" s="603">
        <f>[1]!srE2StLng($C$6,B58)</f>
        <v>29.082000000000001</v>
      </c>
      <c r="H58" s="603">
        <f>[1]!srE2StLtr($C$6,B58)</f>
        <v>5.04</v>
      </c>
    </row>
    <row r="59" spans="2:8">
      <c r="B59" s="613">
        <f t="shared" si="1"/>
        <v>33</v>
      </c>
      <c r="C59" s="603">
        <f>[1]!srE2LETe($C$6,B59,0)</f>
        <v>4.4573999999999998</v>
      </c>
      <c r="D59" s="603">
        <f>[1]!srE2LETn($C$6,B59,0)</f>
        <v>1.9052000000000001E-3</v>
      </c>
      <c r="E59" s="603">
        <f>[1]!srE2LETt($C$6,B59,0)</f>
        <v>4.4593051999999993</v>
      </c>
      <c r="F59" s="603">
        <f>[1]!srE2Rng($C$6,B59)</f>
        <v>788.61199999999997</v>
      </c>
      <c r="G59" s="603">
        <f>[1]!srE2StLng($C$6,B59)</f>
        <v>30.321999999999999</v>
      </c>
      <c r="H59" s="603">
        <f>[1]!srE2StLtr($C$6,B59)</f>
        <v>5.2640000000000002</v>
      </c>
    </row>
    <row r="60" spans="2:8">
      <c r="B60" s="613">
        <f t="shared" si="1"/>
        <v>34</v>
      </c>
      <c r="C60" s="603">
        <f>[1]!srE2LETe($C$6,B60,0)</f>
        <v>4.3641999999999994</v>
      </c>
      <c r="D60" s="603">
        <f>[1]!srE2LETn($C$6,B60,0)</f>
        <v>1.8556E-3</v>
      </c>
      <c r="E60" s="603">
        <f>[1]!srE2LETt($C$6,B60,0)</f>
        <v>4.3660556000000001</v>
      </c>
      <c r="F60" s="603">
        <f>[1]!srE2Rng($C$6,B60)</f>
        <v>827.89599999999996</v>
      </c>
      <c r="G60" s="603">
        <f>[1]!srE2StLng($C$6,B60)</f>
        <v>31.566000000000003</v>
      </c>
      <c r="H60" s="603">
        <f>[1]!srE2StLtr($C$6,B60)</f>
        <v>5.492</v>
      </c>
    </row>
    <row r="61" spans="2:8">
      <c r="B61" s="613">
        <f t="shared" si="1"/>
        <v>35</v>
      </c>
      <c r="C61" s="603">
        <f>[1]!srE2LETe($C$6,B61,0)</f>
        <v>4.2709999999999999</v>
      </c>
      <c r="D61" s="603">
        <f>[1]!srE2LETn($C$6,B61,0)</f>
        <v>1.8060000000000001E-3</v>
      </c>
      <c r="E61" s="603">
        <f>[1]!srE2LETt($C$6,B61,0)</f>
        <v>4.2728060000000001</v>
      </c>
      <c r="F61" s="603">
        <f>[1]!srE2Rng($C$6,B61)</f>
        <v>867.18</v>
      </c>
      <c r="G61" s="603">
        <f>[1]!srE2StLng($C$6,B61)</f>
        <v>32.81</v>
      </c>
      <c r="H61" s="603">
        <f>[1]!srE2StLtr($C$6,B61)</f>
        <v>5.72</v>
      </c>
    </row>
    <row r="62" spans="2:8">
      <c r="B62" s="613">
        <f t="shared" si="1"/>
        <v>36</v>
      </c>
      <c r="C62" s="603">
        <f>[1]!srE2LETe($C$6,B62,0)</f>
        <v>4.1886000000000001</v>
      </c>
      <c r="D62" s="603">
        <f>[1]!srE2LETn($C$6,B62,0)</f>
        <v>1.7624000000000001E-3</v>
      </c>
      <c r="E62" s="603">
        <f>[1]!srE2LETt($C$6,B62,0)</f>
        <v>4.1903624000000006</v>
      </c>
      <c r="F62" s="603">
        <f>[1]!srE2Rng($C$6,B62)</f>
        <v>908.52799999999991</v>
      </c>
      <c r="G62" s="603">
        <f>[1]!srE2StLng($C$6,B62)</f>
        <v>34.066000000000003</v>
      </c>
      <c r="H62" s="603">
        <f>[1]!srE2StLtr($C$6,B62)</f>
        <v>5.96</v>
      </c>
    </row>
    <row r="63" spans="2:8">
      <c r="B63" s="613">
        <f t="shared" si="1"/>
        <v>37</v>
      </c>
      <c r="C63" s="603">
        <f>[1]!srE2LETe($C$6,B63,0)</f>
        <v>4.1062000000000003</v>
      </c>
      <c r="D63" s="603">
        <f>[1]!srE2LETn($C$6,B63,0)</f>
        <v>1.7187999999999999E-3</v>
      </c>
      <c r="E63" s="603">
        <f>[1]!srE2LETt($C$6,B63,0)</f>
        <v>4.1079188000000002</v>
      </c>
      <c r="F63" s="603">
        <f>[1]!srE2Rng($C$6,B63)</f>
        <v>949.87599999999998</v>
      </c>
      <c r="G63" s="603">
        <f>[1]!srE2StLng($C$6,B63)</f>
        <v>35.322000000000003</v>
      </c>
      <c r="H63" s="603">
        <f>[1]!srE2StLtr($C$6,B63)</f>
        <v>6.2</v>
      </c>
    </row>
    <row r="64" spans="2:8">
      <c r="B64" s="613">
        <f t="shared" si="1"/>
        <v>38</v>
      </c>
      <c r="C64" s="603">
        <f>[1]!srE2LETe($C$6,B64,0)</f>
        <v>4.0280000000000005</v>
      </c>
      <c r="D64" s="603">
        <f>[1]!srE2LETn($C$6,B64,0)</f>
        <v>1.6777999999999999E-3</v>
      </c>
      <c r="E64" s="603">
        <f>[1]!srE2LETt($C$6,B64,0)</f>
        <v>4.0296778</v>
      </c>
      <c r="F64" s="603">
        <f>[1]!srE2Rng($C$6,B64)</f>
        <v>992.43999999999994</v>
      </c>
      <c r="G64" s="603">
        <f>[1]!srE2StLng($C$6,B64)</f>
        <v>36.582000000000001</v>
      </c>
      <c r="H64" s="603">
        <f>[1]!srE2StLtr($C$6,B64)</f>
        <v>6.4460000000000006</v>
      </c>
    </row>
    <row r="65" spans="2:8">
      <c r="B65" s="613">
        <f t="shared" si="1"/>
        <v>39</v>
      </c>
      <c r="C65" s="603">
        <f>[1]!srE2LETe($C$6,B65,0)</f>
        <v>3.9540000000000002</v>
      </c>
      <c r="D65" s="603">
        <f>[1]!srE2LETn($C$6,B65,0)</f>
        <v>1.6394000000000001E-3</v>
      </c>
      <c r="E65" s="603">
        <f>[1]!srE2LETt($C$6,B65,0)</f>
        <v>3.9556393999999999</v>
      </c>
      <c r="F65" s="603">
        <f>[1]!srE2Rng($C$6,B65)</f>
        <v>1036.22</v>
      </c>
      <c r="G65" s="603">
        <f>[1]!srE2StLng($C$6,B65)</f>
        <v>37.846000000000004</v>
      </c>
      <c r="H65" s="603">
        <f>[1]!srE2StLtr($C$6,B65)</f>
        <v>6.6980000000000004</v>
      </c>
    </row>
    <row r="66" spans="2:8">
      <c r="B66" s="613">
        <f t="shared" si="1"/>
        <v>40</v>
      </c>
      <c r="C66" s="603">
        <f>[1]!srE2LETe($C$6,B66,0)</f>
        <v>3.88</v>
      </c>
      <c r="D66" s="603">
        <f>[1]!srE2LETn($C$6,B66,0)</f>
        <v>1.601E-3</v>
      </c>
      <c r="E66" s="603">
        <f>[1]!srE2LETt($C$6,B66,0)</f>
        <v>3.8816009999999999</v>
      </c>
      <c r="F66" s="603">
        <f>[1]!srE2Rng($C$6,B66)</f>
        <v>1080</v>
      </c>
      <c r="G66" s="603">
        <f>[1]!srE2StLng($C$6,B66)</f>
        <v>39.11</v>
      </c>
      <c r="H66" s="603">
        <f>[1]!srE2StLtr($C$6,B66)</f>
        <v>6.95</v>
      </c>
    </row>
    <row r="67" spans="2:8">
      <c r="B67" s="613">
        <f t="shared" si="1"/>
        <v>41</v>
      </c>
      <c r="C67" s="603">
        <f>[1]!srE2LETe($C$6,B67,0)</f>
        <v>3.8136000000000001</v>
      </c>
      <c r="D67" s="603">
        <f>[1]!srE2LETn($C$6,B67,0)</f>
        <v>1.567E-3</v>
      </c>
      <c r="E67" s="603">
        <f>[1]!srE2LETt($C$6,B67,0)</f>
        <v>3.8151669999999998</v>
      </c>
      <c r="F67" s="603">
        <f>[1]!srE2Rng($C$6,B67)</f>
        <v>1124</v>
      </c>
      <c r="G67" s="603">
        <f>[1]!srE2StLng($C$6,B67)</f>
        <v>40.385999999999996</v>
      </c>
      <c r="H67" s="603">
        <f>[1]!srE2StLtr($C$6,B67)</f>
        <v>7.21</v>
      </c>
    </row>
    <row r="68" spans="2:8">
      <c r="B68" s="613">
        <f t="shared" si="1"/>
        <v>42</v>
      </c>
      <c r="C68" s="603">
        <f>[1]!srE2LETe($C$6,B68,0)</f>
        <v>3.7471999999999999</v>
      </c>
      <c r="D68" s="603">
        <f>[1]!srE2LETn($C$6,B68,0)</f>
        <v>1.5330000000000001E-3</v>
      </c>
      <c r="E68" s="603">
        <f>[1]!srE2LETt($C$6,B68,0)</f>
        <v>3.7487330000000001</v>
      </c>
      <c r="F68" s="603">
        <f>[1]!srE2Rng($C$6,B68)</f>
        <v>1168</v>
      </c>
      <c r="G68" s="603">
        <f>[1]!srE2StLng($C$6,B68)</f>
        <v>41.661999999999999</v>
      </c>
      <c r="H68" s="603">
        <f>[1]!srE2StLtr($C$6,B68)</f>
        <v>7.47</v>
      </c>
    </row>
    <row r="69" spans="2:8">
      <c r="B69" s="613">
        <f t="shared" ref="B69:B85" si="2">B68+B$33</f>
        <v>43</v>
      </c>
      <c r="C69" s="603">
        <f>[1]!srE2LETe($C$6,B69,0)</f>
        <v>3.6840000000000002</v>
      </c>
      <c r="D69" s="603">
        <f>[1]!srE2LETn($C$6,B69,0)</f>
        <v>1.5008000000000001E-3</v>
      </c>
      <c r="E69" s="603">
        <f>[1]!srE2LETt($C$6,B69,0)</f>
        <v>3.6855008000000002</v>
      </c>
      <c r="F69" s="603">
        <f>[1]!srE2Rng($C$6,B69)</f>
        <v>1214</v>
      </c>
      <c r="G69" s="603">
        <f>[1]!srE2StLng($C$6,B69)</f>
        <v>42.943999999999996</v>
      </c>
      <c r="H69" s="603">
        <f>[1]!srE2StLtr($C$6,B69)</f>
        <v>7.7359999999999998</v>
      </c>
    </row>
    <row r="70" spans="2:8">
      <c r="B70" s="613">
        <f t="shared" si="2"/>
        <v>44</v>
      </c>
      <c r="C70" s="603">
        <f>[1]!srE2LETe($C$6,B70,0)</f>
        <v>3.6240000000000001</v>
      </c>
      <c r="D70" s="603">
        <f>[1]!srE2LETn($C$6,B70,0)</f>
        <v>1.4704E-3</v>
      </c>
      <c r="E70" s="603">
        <f>[1]!srE2LETt($C$6,B70,0)</f>
        <v>3.6254704000000002</v>
      </c>
      <c r="F70" s="603">
        <f>[1]!srE2Rng($C$6,B70)</f>
        <v>1262</v>
      </c>
      <c r="G70" s="603">
        <f>[1]!srE2StLng($C$6,B70)</f>
        <v>44.231999999999999</v>
      </c>
      <c r="H70" s="603">
        <f>[1]!srE2StLtr($C$6,B70)</f>
        <v>8.0079999999999991</v>
      </c>
    </row>
    <row r="71" spans="2:8">
      <c r="B71" s="613">
        <f t="shared" si="2"/>
        <v>45</v>
      </c>
      <c r="C71" s="603">
        <f>[1]!srE2LETe($C$6,B71,0)</f>
        <v>3.5640000000000001</v>
      </c>
      <c r="D71" s="603">
        <f>[1]!srE2LETn($C$6,B71,0)</f>
        <v>1.4400000000000001E-3</v>
      </c>
      <c r="E71" s="603">
        <f>[1]!srE2LETt($C$6,B71,0)</f>
        <v>3.5654400000000002</v>
      </c>
      <c r="F71" s="603">
        <f>[1]!srE2Rng($C$6,B71)</f>
        <v>1310</v>
      </c>
      <c r="G71" s="603">
        <f>[1]!srE2StLng($C$6,B71)</f>
        <v>45.52</v>
      </c>
      <c r="H71" s="603">
        <f>[1]!srE2StLtr($C$6,B71)</f>
        <v>8.2799999999999994</v>
      </c>
    </row>
    <row r="72" spans="2:8">
      <c r="B72" s="613">
        <f t="shared" si="2"/>
        <v>46</v>
      </c>
      <c r="C72" s="603">
        <f>[1]!srE2LETe($C$6,B72,0)</f>
        <v>3.5102000000000002</v>
      </c>
      <c r="D72" s="603">
        <f>[1]!srE2LETn($C$6,B72,0)</f>
        <v>1.4138E-3</v>
      </c>
      <c r="E72" s="603">
        <f>[1]!srE2LETt($C$6,B72,0)</f>
        <v>3.5116138000000001</v>
      </c>
      <c r="F72" s="603">
        <f>[1]!srE2Rng($C$6,B72)</f>
        <v>1360</v>
      </c>
      <c r="G72" s="603">
        <f>[1]!srE2StLng($C$6,B72)</f>
        <v>47.980000000000004</v>
      </c>
      <c r="H72" s="603">
        <f>[1]!srE2StLtr($C$6,B72)</f>
        <v>8.5659999999999989</v>
      </c>
    </row>
    <row r="73" spans="2:8">
      <c r="B73" s="613">
        <f t="shared" si="2"/>
        <v>47</v>
      </c>
      <c r="C73" s="603">
        <f>[1]!srE2LETe($C$6,B73,0)</f>
        <v>3.4563999999999999</v>
      </c>
      <c r="D73" s="603">
        <f>[1]!srE2LETn($C$6,B73,0)</f>
        <v>1.3876000000000001E-3</v>
      </c>
      <c r="E73" s="603">
        <f>[1]!srE2LETt($C$6,B73,0)</f>
        <v>3.4577876000000001</v>
      </c>
      <c r="F73" s="603">
        <f>[1]!srE2Rng($C$6,B73)</f>
        <v>1410</v>
      </c>
      <c r="G73" s="603">
        <f>[1]!srE2StLng($C$6,B73)</f>
        <v>50.440000000000005</v>
      </c>
      <c r="H73" s="603">
        <f>[1]!srE2StLtr($C$6,B73)</f>
        <v>8.8520000000000003</v>
      </c>
    </row>
    <row r="74" spans="2:8">
      <c r="B74" s="613">
        <f t="shared" si="2"/>
        <v>48</v>
      </c>
      <c r="C74" s="603">
        <f>[1]!srE2LETe($C$6,B74,0)</f>
        <v>3.4026000000000001</v>
      </c>
      <c r="D74" s="603">
        <f>[1]!srE2LETn($C$6,B74,0)</f>
        <v>1.3614E-3</v>
      </c>
      <c r="E74" s="603">
        <f>[1]!srE2LETt($C$6,B74,0)</f>
        <v>3.4039614</v>
      </c>
      <c r="F74" s="603">
        <f>[1]!srE2Rng($C$6,B74)</f>
        <v>1460</v>
      </c>
      <c r="G74" s="603">
        <f>[1]!srE2StLng($C$6,B74)</f>
        <v>52.9</v>
      </c>
      <c r="H74" s="603">
        <f>[1]!srE2StLtr($C$6,B74)</f>
        <v>9.1379999999999999</v>
      </c>
    </row>
    <row r="75" spans="2:8">
      <c r="B75" s="613">
        <f t="shared" si="2"/>
        <v>49</v>
      </c>
      <c r="C75" s="603">
        <f>[1]!srE2LETe($C$6,B75,0)</f>
        <v>3.3487999999999998</v>
      </c>
      <c r="D75" s="603">
        <f>[1]!srE2LETn($C$6,B75,0)</f>
        <v>1.3352000000000001E-3</v>
      </c>
      <c r="E75" s="603">
        <f>[1]!srE2LETt($C$6,B75,0)</f>
        <v>3.3501352</v>
      </c>
      <c r="F75" s="603">
        <f>[1]!srE2Rng($C$6,B75)</f>
        <v>1510</v>
      </c>
      <c r="G75" s="603">
        <f>[1]!srE2StLng($C$6,B75)</f>
        <v>55.36</v>
      </c>
      <c r="H75" s="603">
        <f>[1]!srE2StLtr($C$6,B75)</f>
        <v>9.4240000000000013</v>
      </c>
    </row>
    <row r="76" spans="2:8">
      <c r="B76" s="613">
        <f t="shared" si="2"/>
        <v>50</v>
      </c>
      <c r="C76" s="603">
        <f>[1]!srE2LETe($C$6,B76,0)</f>
        <v>3.2949999999999999</v>
      </c>
      <c r="D76" s="603">
        <f>[1]!srE2LETn($C$6,B76,0)</f>
        <v>1.3090000000000001E-3</v>
      </c>
      <c r="E76" s="603">
        <f>[1]!srE2LETt($C$6,B76,0)</f>
        <v>3.2963089999999999</v>
      </c>
      <c r="F76" s="603">
        <f>[1]!srE2Rng($C$6,B76)</f>
        <v>1560</v>
      </c>
      <c r="G76" s="603">
        <f>[1]!srE2StLng($C$6,B76)</f>
        <v>57.82</v>
      </c>
      <c r="H76" s="603">
        <f>[1]!srE2StLtr($C$6,B76)</f>
        <v>9.7100000000000009</v>
      </c>
    </row>
    <row r="77" spans="2:8">
      <c r="B77" s="613">
        <f t="shared" si="2"/>
        <v>51</v>
      </c>
      <c r="C77" s="603">
        <f>[1]!srE2LETe($C$6,B77,0)</f>
        <v>3.2497199999999999</v>
      </c>
      <c r="D77" s="603">
        <f>[1]!srE2LETn($C$6,B77,0)</f>
        <v>1.2878800000000001E-3</v>
      </c>
      <c r="E77" s="603">
        <f>[1]!srE2LETt($C$6,B77,0)</f>
        <v>3.25100788</v>
      </c>
      <c r="F77" s="603">
        <f>[1]!srE2Rng($C$6,B77)</f>
        <v>1614.4</v>
      </c>
      <c r="G77" s="603">
        <f>[1]!srE2StLng($C$6,B77)</f>
        <v>60.639200000000002</v>
      </c>
      <c r="H77" s="603">
        <f>[1]!srE2StLtr($C$6,B77)</f>
        <v>10.018800000000001</v>
      </c>
    </row>
    <row r="78" spans="2:8">
      <c r="B78" s="613">
        <f t="shared" si="2"/>
        <v>52</v>
      </c>
      <c r="C78" s="603">
        <f>[1]!srE2LETe($C$6,B78,0)</f>
        <v>3.20444</v>
      </c>
      <c r="D78" s="603">
        <f>[1]!srE2LETn($C$6,B78,0)</f>
        <v>1.26676E-3</v>
      </c>
      <c r="E78" s="603">
        <f>[1]!srE2LETt($C$6,B78,0)</f>
        <v>3.20570676</v>
      </c>
      <c r="F78" s="603">
        <f>[1]!srE2Rng($C$6,B78)</f>
        <v>1668.8</v>
      </c>
      <c r="G78" s="603">
        <f>[1]!srE2StLng($C$6,B78)</f>
        <v>63.458399999999997</v>
      </c>
      <c r="H78" s="603">
        <f>[1]!srE2StLtr($C$6,B78)</f>
        <v>10.3276</v>
      </c>
    </row>
    <row r="79" spans="2:8">
      <c r="B79" s="613">
        <f t="shared" si="2"/>
        <v>53</v>
      </c>
      <c r="C79" s="603">
        <f>[1]!srE2LETe($C$6,B79,0)</f>
        <v>3.15916</v>
      </c>
      <c r="D79" s="603">
        <f>[1]!srE2LETn($C$6,B79,0)</f>
        <v>1.2456400000000001E-3</v>
      </c>
      <c r="E79" s="603">
        <f>[1]!srE2LETt($C$6,B79,0)</f>
        <v>3.16040564</v>
      </c>
      <c r="F79" s="603">
        <f>[1]!srE2Rng($C$6,B79)</f>
        <v>1723.2</v>
      </c>
      <c r="G79" s="603">
        <f>[1]!srE2StLng($C$6,B79)</f>
        <v>66.277599999999993</v>
      </c>
      <c r="H79" s="603">
        <f>[1]!srE2StLtr($C$6,B79)</f>
        <v>10.6364</v>
      </c>
    </row>
    <row r="80" spans="2:8">
      <c r="B80" s="613">
        <f t="shared" si="2"/>
        <v>54</v>
      </c>
      <c r="C80" s="603">
        <f>[1]!srE2LETe($C$6,B80,0)</f>
        <v>3.11388</v>
      </c>
      <c r="D80" s="603">
        <f>[1]!srE2LETn($C$6,B80,0)</f>
        <v>1.22452E-3</v>
      </c>
      <c r="E80" s="603">
        <f>[1]!srE2LETt($C$6,B80,0)</f>
        <v>3.11510452</v>
      </c>
      <c r="F80" s="603">
        <f>[1]!srE2Rng($C$6,B80)</f>
        <v>1777.6</v>
      </c>
      <c r="G80" s="603">
        <f>[1]!srE2StLng($C$6,B80)</f>
        <v>69.096800000000002</v>
      </c>
      <c r="H80" s="603">
        <f>[1]!srE2StLtr($C$6,B80)</f>
        <v>10.9452</v>
      </c>
    </row>
    <row r="81" spans="1:8">
      <c r="B81" s="613">
        <f t="shared" si="2"/>
        <v>55</v>
      </c>
      <c r="C81" s="603">
        <f>[1]!srE2LETe($C$6,B81,0)</f>
        <v>3.0686</v>
      </c>
      <c r="D81" s="603">
        <f>[1]!srE2LETn($C$6,B81,0)</f>
        <v>1.2034000000000001E-3</v>
      </c>
      <c r="E81" s="603">
        <f>[1]!srE2LETt($C$6,B81,0)</f>
        <v>3.0698034000000001</v>
      </c>
      <c r="F81" s="603">
        <f>[1]!srE2Rng($C$6,B81)</f>
        <v>1832</v>
      </c>
      <c r="G81" s="603">
        <f>[1]!srE2StLng($C$6,B81)</f>
        <v>71.915999999999997</v>
      </c>
      <c r="H81" s="603">
        <f>[1]!srE2StLtr($C$6,B81)</f>
        <v>11.254000000000001</v>
      </c>
    </row>
    <row r="82" spans="1:8">
      <c r="B82" s="613">
        <f t="shared" si="2"/>
        <v>56</v>
      </c>
      <c r="C82" s="603">
        <f>[1]!srE2LETe($C$6,B82,0)</f>
        <v>3.02332</v>
      </c>
      <c r="D82" s="603">
        <f>[1]!srE2LETn($C$6,B82,0)</f>
        <v>1.1822800000000002E-3</v>
      </c>
      <c r="E82" s="603">
        <f>[1]!srE2LETt($C$6,B82,0)</f>
        <v>3.0245022800000001</v>
      </c>
      <c r="F82" s="603">
        <f>[1]!srE2Rng($C$6,B82)</f>
        <v>1886.4</v>
      </c>
      <c r="G82" s="603">
        <f>[1]!srE2StLng($C$6,B82)</f>
        <v>74.735199999999992</v>
      </c>
      <c r="H82" s="603">
        <f>[1]!srE2StLtr($C$6,B82)</f>
        <v>11.562800000000001</v>
      </c>
    </row>
    <row r="83" spans="1:8">
      <c r="B83" s="613">
        <f t="shared" si="2"/>
        <v>57</v>
      </c>
      <c r="C83" s="603">
        <f>[1]!srE2LETe($C$6,B83,0)</f>
        <v>2.9841600000000001</v>
      </c>
      <c r="D83" s="603">
        <f>[1]!srE2LETn($C$6,B83,0)</f>
        <v>1.16416E-3</v>
      </c>
      <c r="E83" s="603">
        <f>[1]!srE2LETt($C$6,B83,0)</f>
        <v>2.9853241600000002</v>
      </c>
      <c r="F83" s="603">
        <f>[1]!srE2Rng($C$6,B83)</f>
        <v>1945.6</v>
      </c>
      <c r="G83" s="603">
        <f>[1]!srE2StLng($C$6,B83)</f>
        <v>77.435599999999994</v>
      </c>
      <c r="H83" s="603">
        <f>[1]!srE2StLtr($C$6,B83)</f>
        <v>11.889600000000002</v>
      </c>
    </row>
    <row r="84" spans="1:8">
      <c r="B84" s="613">
        <f t="shared" si="2"/>
        <v>58</v>
      </c>
      <c r="C84" s="603">
        <f>[1]!srE2LETe($C$6,B84,0)</f>
        <v>2.9470399999999999</v>
      </c>
      <c r="D84" s="603">
        <f>[1]!srE2LETn($C$6,B84,0)</f>
        <v>1.14704E-3</v>
      </c>
      <c r="E84" s="603">
        <f>[1]!srE2LETt($C$6,B84,0)</f>
        <v>2.9481870400000001</v>
      </c>
      <c r="F84" s="603">
        <f>[1]!srE2Rng($C$6,B84)</f>
        <v>2006.4</v>
      </c>
      <c r="G84" s="603">
        <f>[1]!srE2StLng($C$6,B84)</f>
        <v>80.096400000000003</v>
      </c>
      <c r="H84" s="603">
        <f>[1]!srE2StLtr($C$6,B84)</f>
        <v>12.2224</v>
      </c>
    </row>
    <row r="85" spans="1:8">
      <c r="B85" s="613">
        <f t="shared" si="2"/>
        <v>59</v>
      </c>
      <c r="C85" s="603">
        <f>[1]!srE2LETe($C$6,B85,0)</f>
        <v>2.9099200000000001</v>
      </c>
      <c r="D85" s="603">
        <f>[1]!srE2LETn($C$6,B85,0)</f>
        <v>1.12992E-3</v>
      </c>
      <c r="E85" s="603">
        <f>[1]!srE2LETt($C$6,B85,0)</f>
        <v>2.91104992</v>
      </c>
      <c r="F85" s="603">
        <f>[1]!srE2Rng($C$6,B85)</f>
        <v>2067.1999999999998</v>
      </c>
      <c r="G85" s="603">
        <f>[1]!srE2StLng($C$6,B85)</f>
        <v>82.757199999999997</v>
      </c>
      <c r="H85" s="603">
        <f>[1]!srE2StLtr($C$6,B85)</f>
        <v>12.555200000000001</v>
      </c>
    </row>
    <row r="88" spans="1:8">
      <c r="A88" s="9"/>
      <c r="B88" s="612">
        <f>[1]!srMinE(C6)</f>
        <v>9.9999750000000008E-6</v>
      </c>
      <c r="C88" s="151" t="s">
        <v>377</v>
      </c>
      <c r="D88" s="5"/>
      <c r="E88" s="5"/>
      <c r="F88" s="5"/>
      <c r="G88" s="9"/>
      <c r="H88" s="9"/>
    </row>
    <row r="89" spans="1:8">
      <c r="A89" s="9"/>
      <c r="B89" s="611">
        <f>[1]!srMaxE(C6)</f>
        <v>1000</v>
      </c>
      <c r="C89" s="151" t="s">
        <v>376</v>
      </c>
      <c r="D89" s="5"/>
      <c r="E89" s="5"/>
      <c r="F89" s="5"/>
      <c r="G89" s="9"/>
      <c r="H89" s="9"/>
    </row>
    <row r="90" spans="1:8">
      <c r="A90" s="9"/>
      <c r="B90" s="57" t="s">
        <v>375</v>
      </c>
      <c r="C90" s="53" t="s">
        <v>374</v>
      </c>
      <c r="D90" s="54" t="s">
        <v>373</v>
      </c>
      <c r="E90" s="56" t="s">
        <v>372</v>
      </c>
      <c r="F90" s="55" t="s">
        <v>371</v>
      </c>
      <c r="G90" s="53" t="s">
        <v>370</v>
      </c>
      <c r="H90" s="56" t="s">
        <v>369</v>
      </c>
    </row>
    <row r="91" spans="1:8">
      <c r="A91" s="9"/>
      <c r="B91" s="58" t="s">
        <v>368</v>
      </c>
      <c r="C91" s="610" t="s">
        <v>367</v>
      </c>
      <c r="D91" s="609"/>
      <c r="E91" s="42"/>
      <c r="F91" s="608" t="s">
        <v>366</v>
      </c>
      <c r="G91" s="607" t="s">
        <v>366</v>
      </c>
      <c r="H91" s="606" t="s">
        <v>366</v>
      </c>
    </row>
    <row r="92" spans="1:8">
      <c r="A92" s="605">
        <f>B$88*1</f>
        <v>9.9999750000000008E-6</v>
      </c>
      <c r="B92" s="604">
        <f t="shared" ref="B92:B123" si="3">IF(A92&lt;=B$89,A92,NA())</f>
        <v>9.9999750000000008E-6</v>
      </c>
      <c r="C92" s="603">
        <f>[1]!srE2LETe($C$6,B92,0)</f>
        <v>8.8800000000000004E-2</v>
      </c>
      <c r="D92" s="603">
        <f>[1]!srE2LETn($C$6,B92,0)</f>
        <v>0.9204</v>
      </c>
      <c r="E92" s="603">
        <f>[1]!srE2LETt($C$6,B92,0)</f>
        <v>1.0092000000000001</v>
      </c>
      <c r="F92" s="603">
        <f>[1]!srE2Rng($C$6,B92)</f>
        <v>2.1000000000000003E-3</v>
      </c>
      <c r="G92" s="603">
        <f>[1]!srE2StLng($C$6,B92)</f>
        <v>1.2000000000000001E-3</v>
      </c>
      <c r="H92" s="603">
        <f>[1]!srE2StLtr($C$6,B92)</f>
        <v>8.9999999999999998E-4</v>
      </c>
    </row>
    <row r="93" spans="1:8">
      <c r="A93" s="605">
        <f>B$88*2</f>
        <v>1.9999950000000002E-5</v>
      </c>
      <c r="B93" s="604">
        <f t="shared" si="3"/>
        <v>1.9999950000000002E-5</v>
      </c>
      <c r="C93" s="603">
        <f>[1]!srE2LETe($C$6,B93,0)</f>
        <v>0.125599919</v>
      </c>
      <c r="D93" s="603">
        <f>[1]!srE2LETn($C$6,B93,0)</f>
        <v>1.22099939</v>
      </c>
      <c r="E93" s="603">
        <f>[1]!srE2LETt($C$6,B93,0)</f>
        <v>1.3465993090000001</v>
      </c>
      <c r="F93" s="603">
        <f>[1]!srE2Rng($C$6,B93)</f>
        <v>2.9999980000000002E-3</v>
      </c>
      <c r="G93" s="603">
        <f>[1]!srE2StLng($C$6,B93)</f>
        <v>1.6999990000000002E-3</v>
      </c>
      <c r="H93" s="603">
        <f>[1]!srE2StLtr($C$6,B93)</f>
        <v>1.1999990000000002E-3</v>
      </c>
    </row>
    <row r="94" spans="1:8">
      <c r="A94" s="605">
        <f>B$88*3</f>
        <v>2.9999925000000002E-5</v>
      </c>
      <c r="B94" s="604">
        <f t="shared" si="3"/>
        <v>2.9999925000000002E-5</v>
      </c>
      <c r="C94" s="603">
        <f>[1]!srE2LETe($C$6,B94,0)</f>
        <v>0.15379980500000001</v>
      </c>
      <c r="D94" s="603">
        <f>[1]!srE2LETn($C$6,B94,0)</f>
        <v>1.41599874</v>
      </c>
      <c r="E94" s="603">
        <f>[1]!srE2LETt($C$6,B94,0)</f>
        <v>1.569798545</v>
      </c>
      <c r="F94" s="603">
        <f>[1]!srE2Rng($C$6,B94)</f>
        <v>3.699997E-3</v>
      </c>
      <c r="G94" s="603">
        <f>[1]!srE2StLng($C$6,B94)</f>
        <v>2E-3</v>
      </c>
      <c r="H94" s="603">
        <f>[1]!srE2StLtr($C$6,B94)</f>
        <v>1.4999970000000003E-3</v>
      </c>
    </row>
    <row r="95" spans="1:8">
      <c r="A95" s="605">
        <f>B$88*4</f>
        <v>3.9999900000000003E-5</v>
      </c>
      <c r="B95" s="604">
        <f t="shared" si="3"/>
        <v>3.9999900000000003E-5</v>
      </c>
      <c r="C95" s="603">
        <f>[1]!srE2LETe($C$6,B95,0)</f>
        <v>0.17759977600000001</v>
      </c>
      <c r="D95" s="603">
        <f>[1]!srE2LETn($C$6,B95,0)</f>
        <v>1.5589987199999999</v>
      </c>
      <c r="E95" s="603">
        <f>[1]!srE2LETt($C$6,B95,0)</f>
        <v>1.7365984959999998</v>
      </c>
      <c r="F95" s="603">
        <f>[1]!srE2Rng($C$6,B95)</f>
        <v>4.3999959999999998E-3</v>
      </c>
      <c r="G95" s="603">
        <f>[1]!srE2StLng($C$6,B95)</f>
        <v>2.3999960000000002E-3</v>
      </c>
      <c r="H95" s="603">
        <f>[1]!srE2StLtr($C$6,B95)</f>
        <v>1.7000000000000001E-3</v>
      </c>
    </row>
    <row r="96" spans="1:8">
      <c r="A96" s="605">
        <f>B$88*5</f>
        <v>4.9999875000000007E-5</v>
      </c>
      <c r="B96" s="604">
        <f t="shared" si="3"/>
        <v>4.9999875000000007E-5</v>
      </c>
      <c r="C96" s="603">
        <f>[1]!srE2LETe($C$6,B96,0)</f>
        <v>0.19859974500000002</v>
      </c>
      <c r="D96" s="603">
        <f>[1]!srE2LETn($C$6,B96,0)</f>
        <v>1.671998675</v>
      </c>
      <c r="E96" s="603">
        <f>[1]!srE2LETt($C$6,B96,0)</f>
        <v>1.8705984200000001</v>
      </c>
      <c r="F96" s="603">
        <f>[1]!srE2Rng($C$6,B96)</f>
        <v>5.0999899999999996E-3</v>
      </c>
      <c r="G96" s="603">
        <f>[1]!srE2StLng($C$6,B96)</f>
        <v>2.6999950000000002E-3</v>
      </c>
      <c r="H96" s="603">
        <f>[1]!srE2StLtr($C$6,B96)</f>
        <v>1.8999975E-3</v>
      </c>
    </row>
    <row r="97" spans="1:8">
      <c r="A97" s="605">
        <f>B$88*6</f>
        <v>5.9999850000000005E-5</v>
      </c>
      <c r="B97" s="604">
        <f t="shared" si="3"/>
        <v>5.9999850000000005E-5</v>
      </c>
      <c r="C97" s="603">
        <f>[1]!srE2LETe($C$6,B97,0)</f>
        <v>0.21743972640000001</v>
      </c>
      <c r="D97" s="603">
        <f>[1]!srE2LETn($C$6,B97,0)</f>
        <v>1.7627987280000001</v>
      </c>
      <c r="E97" s="603">
        <f>[1]!srE2LETt($C$6,B97,0)</f>
        <v>1.9802384544000002</v>
      </c>
      <c r="F97" s="603">
        <f>[1]!srE2Rng($C$6,B97)</f>
        <v>5.6399904000000011E-3</v>
      </c>
      <c r="G97" s="603">
        <f>[1]!srE2StLng($C$6,B97)</f>
        <v>2.9199952E-3</v>
      </c>
      <c r="H97" s="603">
        <f>[1]!srE2StLtr($C$6,B97)</f>
        <v>2.1599976000000001E-3</v>
      </c>
    </row>
    <row r="98" spans="1:8">
      <c r="A98" s="605">
        <f>B$88*7</f>
        <v>6.9999825000000002E-5</v>
      </c>
      <c r="B98" s="604">
        <f t="shared" si="3"/>
        <v>6.9999825000000002E-5</v>
      </c>
      <c r="C98" s="603">
        <f>[1]!srE2LETe($C$6,B98,0)</f>
        <v>0.23487970880000003</v>
      </c>
      <c r="D98" s="603">
        <f>[1]!srE2LETn($C$6,B98,0)</f>
        <v>1.839598796</v>
      </c>
      <c r="E98" s="603">
        <f>[1]!srE2LETt($C$6,B98,0)</f>
        <v>2.0744785048000001</v>
      </c>
      <c r="F98" s="603">
        <f>[1]!srE2Rng($C$6,B98)</f>
        <v>6.2599916000000005E-3</v>
      </c>
      <c r="G98" s="603">
        <f>[1]!srE2StLng($C$6,B98)</f>
        <v>3.1399944000000003E-3</v>
      </c>
      <c r="H98" s="603">
        <f>[1]!srE2StLtr($C$6,B98)</f>
        <v>2.3199971999999999E-3</v>
      </c>
    </row>
    <row r="99" spans="1:8">
      <c r="A99" s="605">
        <f>B$88*8</f>
        <v>7.9999800000000006E-5</v>
      </c>
      <c r="B99" s="604">
        <f t="shared" si="3"/>
        <v>7.9999800000000006E-5</v>
      </c>
      <c r="C99" s="603">
        <f>[1]!srE2LETe($C$6,B99,0)</f>
        <v>0.2511196832</v>
      </c>
      <c r="D99" s="603">
        <f>[1]!srE2LETn($C$6,B99,0)</f>
        <v>1.905198752</v>
      </c>
      <c r="E99" s="603">
        <f>[1]!srE2LETt($C$6,B99,0)</f>
        <v>2.1563184352000002</v>
      </c>
      <c r="F99" s="603">
        <f>[1]!srE2Rng($C$6,B99)</f>
        <v>6.8199872000000014E-3</v>
      </c>
      <c r="G99" s="603">
        <f>[1]!srE2StLng($C$6,B99)</f>
        <v>3.3799968000000004E-3</v>
      </c>
      <c r="H99" s="603">
        <f>[1]!srE2StLtr($C$6,B99)</f>
        <v>2.4799968000000002E-3</v>
      </c>
    </row>
    <row r="100" spans="1:8">
      <c r="A100" s="605">
        <f>B$88*9</f>
        <v>8.999977500000001E-5</v>
      </c>
      <c r="B100" s="604">
        <f t="shared" si="3"/>
        <v>8.999977500000001E-5</v>
      </c>
      <c r="C100" s="603">
        <f>[1]!srE2LETe($C$6,B100,0)</f>
        <v>0.26637966880000002</v>
      </c>
      <c r="D100" s="603">
        <f>[1]!srE2LETn($C$6,B100,0)</f>
        <v>1.962198812</v>
      </c>
      <c r="E100" s="603">
        <f>[1]!srE2LETt($C$6,B100,0)</f>
        <v>2.2285784808</v>
      </c>
      <c r="F100" s="603">
        <f>[1]!srE2Rng($C$6,B100)</f>
        <v>7.3199891999999999E-3</v>
      </c>
      <c r="G100" s="603">
        <f>[1]!srE2StLng($C$6,B100)</f>
        <v>3.6399964000000001E-3</v>
      </c>
      <c r="H100" s="603">
        <f>[1]!srE2StLtr($C$6,B100)</f>
        <v>2.6399964000000001E-3</v>
      </c>
    </row>
    <row r="101" spans="1:8">
      <c r="A101" s="605">
        <f t="shared" ref="A101:A132" si="4">A92*10</f>
        <v>9.9999750000000014E-5</v>
      </c>
      <c r="B101" s="604">
        <f t="shared" si="3"/>
        <v>9.9999750000000014E-5</v>
      </c>
      <c r="C101" s="603">
        <f>[1]!srE2LETe($C$6,B101,0)</f>
        <v>0.28079964400000001</v>
      </c>
      <c r="D101" s="603">
        <f>[1]!srE2LETn($C$6,B101,0)</f>
        <v>2.0119988000000002</v>
      </c>
      <c r="E101" s="603">
        <f>[1]!srE2LETt($C$6,B101,0)</f>
        <v>2.2927984440000002</v>
      </c>
      <c r="F101" s="603">
        <f>[1]!srE2Rng($C$6,B101)</f>
        <v>7.8999840000000023E-3</v>
      </c>
      <c r="G101" s="603">
        <f>[1]!srE2StLng($C$6,B101)</f>
        <v>3.8999920000000001E-3</v>
      </c>
      <c r="H101" s="603">
        <f>[1]!srE2StLtr($C$6,B101)</f>
        <v>2.8999920000000005E-3</v>
      </c>
    </row>
    <row r="102" spans="1:8">
      <c r="A102" s="605">
        <f t="shared" si="4"/>
        <v>1.9999950000000003E-4</v>
      </c>
      <c r="B102" s="604">
        <f t="shared" si="3"/>
        <v>1.9999950000000003E-4</v>
      </c>
      <c r="C102" s="603">
        <f>[1]!srE2LETe($C$6,B102,0)</f>
        <v>0.39709948800000006</v>
      </c>
      <c r="D102" s="603">
        <f>[1]!srE2LETn($C$6,B102,0)</f>
        <v>2.3009990200000003</v>
      </c>
      <c r="E102" s="603">
        <f>[1]!srE2LETt($C$6,B102,0)</f>
        <v>2.6980985080000002</v>
      </c>
      <c r="F102" s="603">
        <f>[1]!srE2Rng($C$6,B102)</f>
        <v>1.2699978000000001E-2</v>
      </c>
      <c r="G102" s="603">
        <f>[1]!srE2StLng($C$6,B102)</f>
        <v>5.7999920000000003E-3</v>
      </c>
      <c r="H102" s="603">
        <f>[1]!srE2StLtr($C$6,B102)</f>
        <v>4.2999940000000006E-3</v>
      </c>
    </row>
    <row r="103" spans="1:8">
      <c r="A103" s="605">
        <f t="shared" si="4"/>
        <v>2.9999925000000004E-4</v>
      </c>
      <c r="B103" s="604">
        <f t="shared" si="3"/>
        <v>2.9999925000000004E-4</v>
      </c>
      <c r="C103" s="603">
        <f>[1]!srE2LETe($C$6,B103,0)</f>
        <v>0.48639937900000002</v>
      </c>
      <c r="D103" s="603">
        <f>[1]!srE2LETn($C$6,B103,0)</f>
        <v>2.4229993400000001</v>
      </c>
      <c r="E103" s="603">
        <f>[1]!srE2LETt($C$6,B103,0)</f>
        <v>2.9093987190000004</v>
      </c>
      <c r="F103" s="603">
        <f>[1]!srE2Rng($C$6,B103)</f>
        <v>1.7199967E-2</v>
      </c>
      <c r="G103" s="603">
        <f>[1]!srE2StLng($C$6,B103)</f>
        <v>7.5999880000000002E-3</v>
      </c>
      <c r="H103" s="603">
        <f>[1]!srE2StLtr($C$6,B103)</f>
        <v>5.5999910000000003E-3</v>
      </c>
    </row>
    <row r="104" spans="1:8">
      <c r="A104" s="605">
        <f t="shared" si="4"/>
        <v>3.9999900000000006E-4</v>
      </c>
      <c r="B104" s="604">
        <f t="shared" si="3"/>
        <v>3.9999900000000006E-4</v>
      </c>
      <c r="C104" s="603">
        <f>[1]!srE2LETe($C$6,B104,0)</f>
        <v>0.56159928800000003</v>
      </c>
      <c r="D104" s="603">
        <f>[1]!srE2LETn($C$6,B104,0)</f>
        <v>2.4789996000000003</v>
      </c>
      <c r="E104" s="603">
        <f>[1]!srE2LETt($C$6,B104,0)</f>
        <v>3.0405988879999999</v>
      </c>
      <c r="F104" s="603">
        <f>[1]!srE2Rng($C$6,B104)</f>
        <v>2.1599956000000003E-2</v>
      </c>
      <c r="G104" s="603">
        <f>[1]!srE2StLng($C$6,B104)</f>
        <v>9.1999840000000013E-3</v>
      </c>
      <c r="H104" s="603">
        <f>[1]!srE2StLtr($C$6,B104)</f>
        <v>6.7999880000000007E-3</v>
      </c>
    </row>
    <row r="105" spans="1:8">
      <c r="A105" s="605">
        <f t="shared" si="4"/>
        <v>4.9999875000000002E-4</v>
      </c>
      <c r="B105" s="604">
        <f t="shared" si="3"/>
        <v>4.9999875000000002E-4</v>
      </c>
      <c r="C105" s="603">
        <f>[1]!srE2LETe($C$6,B105,0)</f>
        <v>0.62789919500000002</v>
      </c>
      <c r="D105" s="603">
        <f>[1]!srE2LETn($C$6,B105,0)</f>
        <v>2.5029997750000001</v>
      </c>
      <c r="E105" s="603">
        <f>[1]!srE2LETt($C$6,B105,0)</f>
        <v>3.1308989700000001</v>
      </c>
      <c r="F105" s="603">
        <f>[1]!srE2Rng($C$6,B105)</f>
        <v>2.57999475E-2</v>
      </c>
      <c r="G105" s="603">
        <f>[1]!srE2StLng($C$6,B105)</f>
        <v>1.06999825E-2</v>
      </c>
      <c r="H105" s="603">
        <f>[1]!srE2StLtr($C$6,B105)</f>
        <v>7.8999875000000004E-3</v>
      </c>
    </row>
    <row r="106" spans="1:8">
      <c r="A106" s="605">
        <f t="shared" si="4"/>
        <v>5.9999850000000009E-4</v>
      </c>
      <c r="B106" s="604">
        <f t="shared" si="3"/>
        <v>5.9999850000000009E-4</v>
      </c>
      <c r="C106" s="603">
        <f>[1]!srE2LETe($C$6,B106,0)</f>
        <v>0.687599136</v>
      </c>
      <c r="D106" s="603">
        <f>[1]!srE2LETn($C$6,B106,0)</f>
        <v>2.5064000239999999</v>
      </c>
      <c r="E106" s="603">
        <f>[1]!srE2LETt($C$6,B106,0)</f>
        <v>3.1939991599999997</v>
      </c>
      <c r="F106" s="603">
        <f>[1]!srE2Rng($C$6,B106)</f>
        <v>2.9959937600000004E-2</v>
      </c>
      <c r="G106" s="603">
        <f>[1]!srE2StLng($C$6,B106)</f>
        <v>1.2239978400000002E-2</v>
      </c>
      <c r="H106" s="603">
        <f>[1]!srE2StLtr($C$6,B106)</f>
        <v>9.0199832000000014E-3</v>
      </c>
    </row>
    <row r="107" spans="1:8">
      <c r="A107" s="605">
        <f t="shared" si="4"/>
        <v>6.9999825000000005E-4</v>
      </c>
      <c r="B107" s="604">
        <f t="shared" si="3"/>
        <v>6.9999825000000005E-4</v>
      </c>
      <c r="C107" s="603">
        <f>[1]!srE2LETe($C$6,B107,0)</f>
        <v>0.74283908440000002</v>
      </c>
      <c r="D107" s="603">
        <f>[1]!srE2LETn($C$6,B107,0)</f>
        <v>2.4994002239999999</v>
      </c>
      <c r="E107" s="603">
        <f>[1]!srE2LETt($C$6,B107,0)</f>
        <v>3.2422393083999999</v>
      </c>
      <c r="F107" s="603">
        <f>[1]!srE2Rng($C$6,B107)</f>
        <v>3.4119927200000004E-2</v>
      </c>
      <c r="G107" s="603">
        <f>[1]!srE2StLng($C$6,B107)</f>
        <v>1.3679974800000003E-2</v>
      </c>
      <c r="H107" s="603">
        <f>[1]!srE2StLtr($C$6,B107)</f>
        <v>1.0039980400000002E-2</v>
      </c>
    </row>
    <row r="108" spans="1:8">
      <c r="A108" s="605">
        <f t="shared" si="4"/>
        <v>7.9999800000000012E-4</v>
      </c>
      <c r="B108" s="604">
        <f t="shared" si="3"/>
        <v>7.9999800000000012E-4</v>
      </c>
      <c r="C108" s="603">
        <f>[1]!srE2LETe($C$6,B108,0)</f>
        <v>0.79419899199999999</v>
      </c>
      <c r="D108" s="603">
        <f>[1]!srE2LETn($C$6,B108,0)</f>
        <v>2.4850003200000002</v>
      </c>
      <c r="E108" s="603">
        <f>[1]!srE2LETt($C$6,B108,0)</f>
        <v>3.2791993120000003</v>
      </c>
      <c r="F108" s="603">
        <f>[1]!srE2Rng($C$6,B108)</f>
        <v>3.8279916800000001E-2</v>
      </c>
      <c r="G108" s="603">
        <f>[1]!srE2StLng($C$6,B108)</f>
        <v>1.51199712E-2</v>
      </c>
      <c r="H108" s="603">
        <f>[1]!srE2StLtr($C$6,B108)</f>
        <v>1.10799808E-2</v>
      </c>
    </row>
    <row r="109" spans="1:8">
      <c r="A109" s="605">
        <f t="shared" si="4"/>
        <v>8.9999775000000008E-4</v>
      </c>
      <c r="B109" s="604">
        <f t="shared" si="3"/>
        <v>8.9999775000000008E-4</v>
      </c>
      <c r="C109" s="603">
        <f>[1]!srE2LETe($C$6,B109,0)</f>
        <v>0.84233895240000001</v>
      </c>
      <c r="D109" s="603">
        <f>[1]!srE2LETn($C$6,B109,0)</f>
        <v>2.4658004680000003</v>
      </c>
      <c r="E109" s="603">
        <f>[1]!srE2LETt($C$6,B109,0)</f>
        <v>3.3081394204000003</v>
      </c>
      <c r="F109" s="603">
        <f>[1]!srE2Rng($C$6,B109)</f>
        <v>4.2399909999999999E-2</v>
      </c>
      <c r="G109" s="603">
        <f>[1]!srE2StLng($C$6,B109)</f>
        <v>1.64599676E-2</v>
      </c>
      <c r="H109" s="603">
        <f>[1]!srE2StLtr($C$6,B109)</f>
        <v>1.20399784E-2</v>
      </c>
    </row>
    <row r="110" spans="1:8">
      <c r="A110" s="605">
        <f t="shared" si="4"/>
        <v>9.9999750000000004E-4</v>
      </c>
      <c r="B110" s="604">
        <f t="shared" si="3"/>
        <v>9.9999750000000004E-4</v>
      </c>
      <c r="C110" s="603">
        <f>[1]!srE2LETe($C$6,B110,0)</f>
        <v>0.88799887200000005</v>
      </c>
      <c r="D110" s="603">
        <f>[1]!srE2LETn($C$6,B110,0)</f>
        <v>2.4430006</v>
      </c>
      <c r="E110" s="603">
        <f>[1]!srE2LETt($C$6,B110,0)</f>
        <v>3.3309994719999998</v>
      </c>
      <c r="F110" s="603">
        <f>[1]!srE2Rng($C$6,B110)</f>
        <v>4.6499895999999999E-2</v>
      </c>
      <c r="G110" s="603">
        <f>[1]!srE2StLng($C$6,B110)</f>
        <v>1.7799967999999999E-2</v>
      </c>
      <c r="H110" s="603">
        <f>[1]!srE2StLtr($C$6,B110)</f>
        <v>1.2999976000000002E-2</v>
      </c>
    </row>
    <row r="111" spans="1:8">
      <c r="A111" s="605">
        <f t="shared" si="4"/>
        <v>1.9999950000000001E-3</v>
      </c>
      <c r="B111" s="604">
        <f t="shared" si="3"/>
        <v>1.9999950000000001E-3</v>
      </c>
      <c r="C111" s="603">
        <f>[1]!srE2LETe($C$6,B111,0)</f>
        <v>1.2559983800000001</v>
      </c>
      <c r="D111" s="603">
        <f>[1]!srE2LETn($C$6,B111,0)</f>
        <v>2.1800013000000003</v>
      </c>
      <c r="E111" s="603">
        <f>[1]!srE2LETt($C$6,B111,0)</f>
        <v>3.4359996800000001</v>
      </c>
      <c r="F111" s="603">
        <f>[1]!srE2Rng($C$6,B111)</f>
        <v>8.7899792000000004E-2</v>
      </c>
      <c r="G111" s="603">
        <f>[1]!srE2StLng($C$6,B111)</f>
        <v>3.039994E-2</v>
      </c>
      <c r="H111" s="603">
        <f>[1]!srE2StLtr($C$6,B111)</f>
        <v>2.2299954E-2</v>
      </c>
    </row>
    <row r="112" spans="1:8">
      <c r="A112" s="605">
        <f t="shared" si="4"/>
        <v>2.9999925000000005E-3</v>
      </c>
      <c r="B112" s="604">
        <f t="shared" si="3"/>
        <v>2.9999925000000005E-3</v>
      </c>
      <c r="C112" s="603">
        <f>[1]!srE2LETe($C$6,B112,0)</f>
        <v>1.6849977200000001</v>
      </c>
      <c r="D112" s="603">
        <f>[1]!srE2LETn($C$6,B112,0)</f>
        <v>1.94900159</v>
      </c>
      <c r="E112" s="603">
        <f>[1]!srE2LETt($C$6,B112,0)</f>
        <v>3.6339993100000005</v>
      </c>
      <c r="F112" s="603">
        <f>[1]!srE2Rng($C$6,B112)</f>
        <v>0.12849970000000002</v>
      </c>
      <c r="G112" s="603">
        <f>[1]!srE2StLng($C$6,B112)</f>
        <v>4.1099925000000002E-2</v>
      </c>
      <c r="H112" s="603">
        <f>[1]!srE2StLtr($C$6,B112)</f>
        <v>3.0899937000000006E-2</v>
      </c>
    </row>
    <row r="113" spans="1:8">
      <c r="A113" s="605">
        <f t="shared" si="4"/>
        <v>3.9999900000000001E-3</v>
      </c>
      <c r="B113" s="604">
        <f t="shared" si="3"/>
        <v>3.9999900000000001E-3</v>
      </c>
      <c r="C113" s="603">
        <f>[1]!srE2LETe($C$6,B113,0)</f>
        <v>1.8859983599999999</v>
      </c>
      <c r="D113" s="603">
        <f>[1]!srE2LETn($C$6,B113,0)</f>
        <v>1.76600168</v>
      </c>
      <c r="E113" s="603">
        <f>[1]!srE2LETt($C$6,B113,0)</f>
        <v>3.6520000400000003</v>
      </c>
      <c r="F113" s="603">
        <f>[1]!srE2Rng($C$6,B113)</f>
        <v>0.16909959199999999</v>
      </c>
      <c r="G113" s="603">
        <f>[1]!srE2StLng($C$6,B113)</f>
        <v>5.0599907999999999E-2</v>
      </c>
      <c r="H113" s="603">
        <f>[1]!srE2StLtr($C$6,B113)</f>
        <v>3.8899920000000004E-2</v>
      </c>
    </row>
    <row r="114" spans="1:8">
      <c r="A114" s="605">
        <f t="shared" si="4"/>
        <v>4.9999875000000006E-3</v>
      </c>
      <c r="B114" s="604">
        <f t="shared" si="3"/>
        <v>4.9999875000000006E-3</v>
      </c>
      <c r="C114" s="603">
        <f>[1]!srE2LETe($C$6,B114,0)</f>
        <v>2.0229984000000001</v>
      </c>
      <c r="D114" s="603">
        <f>[1]!srE2LETn($C$6,B114,0)</f>
        <v>1.6170017749999999</v>
      </c>
      <c r="E114" s="603">
        <f>[1]!srE2LETt($C$6,B114,0)</f>
        <v>3.6400001749999999</v>
      </c>
      <c r="F114" s="603">
        <f>[1]!srE2Rng($C$6,B114)</f>
        <v>0.21029948250000002</v>
      </c>
      <c r="G114" s="603">
        <f>[1]!srE2StLng($C$6,B114)</f>
        <v>5.9599890000000003E-2</v>
      </c>
      <c r="H114" s="603">
        <f>[1]!srE2StLtr($C$6,B114)</f>
        <v>4.6599905000000004E-2</v>
      </c>
    </row>
    <row r="115" spans="1:8">
      <c r="A115" s="605">
        <f t="shared" si="4"/>
        <v>5.9999850000000011E-3</v>
      </c>
      <c r="B115" s="604">
        <f t="shared" si="3"/>
        <v>5.9999850000000011E-3</v>
      </c>
      <c r="C115" s="603">
        <f>[1]!srE2LETe($C$6,B115,0)</f>
        <v>2.1357983680000001</v>
      </c>
      <c r="D115" s="603">
        <f>[1]!srE2LETn($C$6,B115,0)</f>
        <v>1.4964017039999999</v>
      </c>
      <c r="E115" s="603">
        <f>[1]!srE2LETt($C$6,B115,0)</f>
        <v>3.6322000719999998</v>
      </c>
      <c r="F115" s="603">
        <f>[1]!srE2Rng($C$6,B115)</f>
        <v>0.25217936880000003</v>
      </c>
      <c r="G115" s="603">
        <f>[1]!srE2StLng($C$6,B115)</f>
        <v>6.8119875200000013E-2</v>
      </c>
      <c r="H115" s="603">
        <f>[1]!srE2StLtr($C$6,B115)</f>
        <v>5.4059889600000008E-2</v>
      </c>
    </row>
    <row r="116" spans="1:8">
      <c r="A116" s="605">
        <f t="shared" si="4"/>
        <v>6.9999825000000007E-3</v>
      </c>
      <c r="B116" s="604">
        <f t="shared" si="3"/>
        <v>6.9999825000000007E-3</v>
      </c>
      <c r="C116" s="603">
        <f>[1]!srE2LETe($C$6,B116,0)</f>
        <v>2.2407982080000002</v>
      </c>
      <c r="D116" s="603">
        <f>[1]!srE2LETn($C$6,B116,0)</f>
        <v>1.3936015960000001</v>
      </c>
      <c r="E116" s="603">
        <f>[1]!srE2LETt($C$6,B116,0)</f>
        <v>3.6343998040000001</v>
      </c>
      <c r="F116" s="603">
        <f>[1]!srE2Rng($C$6,B116)</f>
        <v>0.29441925520000001</v>
      </c>
      <c r="G116" s="603">
        <f>[1]!srE2StLng($C$6,B116)</f>
        <v>7.6159865600000001E-2</v>
      </c>
      <c r="H116" s="603">
        <f>[1]!srE2StLtr($C$6,B116)</f>
        <v>6.1319871199999994E-2</v>
      </c>
    </row>
    <row r="117" spans="1:8">
      <c r="A117" s="605">
        <f t="shared" si="4"/>
        <v>7.9999800000000003E-3</v>
      </c>
      <c r="B117" s="604">
        <f t="shared" si="3"/>
        <v>7.9999800000000003E-3</v>
      </c>
      <c r="C117" s="603">
        <f>[1]!srE2LETe($C$6,B117,0)</f>
        <v>2.3431979519999997</v>
      </c>
      <c r="D117" s="603">
        <f>[1]!srE2LETn($C$6,B117,0)</f>
        <v>1.306401664</v>
      </c>
      <c r="E117" s="603">
        <f>[1]!srE2LETt($C$6,B117,0)</f>
        <v>3.6495996160000002</v>
      </c>
      <c r="F117" s="603">
        <f>[1]!srE2Rng($C$6,B117)</f>
        <v>0.33689915199999998</v>
      </c>
      <c r="G117" s="603">
        <f>[1]!srE2StLng($C$6,B117)</f>
        <v>8.3759849600000005E-2</v>
      </c>
      <c r="H117" s="603">
        <f>[1]!srE2StLtr($C$6,B117)</f>
        <v>6.8519859199999991E-2</v>
      </c>
    </row>
    <row r="118" spans="1:8">
      <c r="A118" s="605">
        <f t="shared" si="4"/>
        <v>8.9999775000000008E-3</v>
      </c>
      <c r="B118" s="604">
        <f t="shared" si="3"/>
        <v>8.9999775000000008E-3</v>
      </c>
      <c r="C118" s="603">
        <f>[1]!srE2LETe($C$6,B118,0)</f>
        <v>2.4469976600000001</v>
      </c>
      <c r="D118" s="603">
        <f>[1]!srE2LETn($C$6,B118,0)</f>
        <v>1.231801548</v>
      </c>
      <c r="E118" s="603">
        <f>[1]!srE2LETt($C$6,B118,0)</f>
        <v>3.678799208</v>
      </c>
      <c r="F118" s="603">
        <f>[1]!srE2Rng($C$6,B118)</f>
        <v>0.37939904600000007</v>
      </c>
      <c r="G118" s="603">
        <f>[1]!srE2StLng($C$6,B118)</f>
        <v>9.0959841600000008E-2</v>
      </c>
      <c r="H118" s="603">
        <f>[1]!srE2StLtr($C$6,B118)</f>
        <v>7.5519845200000019E-2</v>
      </c>
    </row>
    <row r="119" spans="1:8">
      <c r="A119" s="605">
        <f t="shared" si="4"/>
        <v>9.9999750000000012E-3</v>
      </c>
      <c r="B119" s="604">
        <f t="shared" si="3"/>
        <v>9.9999750000000012E-3</v>
      </c>
      <c r="C119" s="603">
        <f>[1]!srE2LETe($C$6,B119,0)</f>
        <v>2.5519973600000001</v>
      </c>
      <c r="D119" s="603">
        <f>[1]!srE2LETn($C$6,B119,0)</f>
        <v>1.1660016</v>
      </c>
      <c r="E119" s="603">
        <f>[1]!srE2LETt($C$6,B119,0)</f>
        <v>3.7179989600000001</v>
      </c>
      <c r="F119" s="603">
        <f>[1]!srE2Rng($C$6,B119)</f>
        <v>0.42169894400000002</v>
      </c>
      <c r="G119" s="603">
        <f>[1]!srE2StLng($C$6,B119)</f>
        <v>9.7799832000000003E-2</v>
      </c>
      <c r="H119" s="603">
        <f>[1]!srE2StLtr($C$6,B119)</f>
        <v>8.2399828000000008E-2</v>
      </c>
    </row>
    <row r="120" spans="1:8">
      <c r="A120" s="605">
        <f t="shared" si="4"/>
        <v>1.9999950000000002E-2</v>
      </c>
      <c r="B120" s="604">
        <f t="shared" si="3"/>
        <v>1.9999950000000002E-2</v>
      </c>
      <c r="C120" s="603">
        <f>[1]!srE2LETe($C$6,B120,0)</f>
        <v>3.6659944200000001</v>
      </c>
      <c r="D120" s="603">
        <f>[1]!srE2LETn($C$6,B120,0)</f>
        <v>0.78260132799999993</v>
      </c>
      <c r="E120" s="603">
        <f>[1]!srE2LETt($C$6,B120,0)</f>
        <v>4.4485957479999998</v>
      </c>
      <c r="F120" s="603">
        <f>[1]!srE2Rng($C$6,B120)</f>
        <v>0.816798142</v>
      </c>
      <c r="G120" s="603">
        <f>[1]!srE2StLng($C$6,B120)</f>
        <v>0.14859979600000001</v>
      </c>
      <c r="H120" s="603">
        <f>[1]!srE2StLtr($C$6,B120)</f>
        <v>0.140799744</v>
      </c>
    </row>
    <row r="121" spans="1:8">
      <c r="A121" s="605">
        <f t="shared" si="4"/>
        <v>2.9999925000000004E-2</v>
      </c>
      <c r="B121" s="604">
        <f t="shared" si="3"/>
        <v>2.9999925000000004E-2</v>
      </c>
      <c r="C121" s="603">
        <f>[1]!srE2LETe($C$6,B121,0)</f>
        <v>4.699992710000001</v>
      </c>
      <c r="D121" s="603">
        <f>[1]!srE2LETn($C$6,B121,0)</f>
        <v>0.60380106499999997</v>
      </c>
      <c r="E121" s="603">
        <f>[1]!srE2LETt($C$6,B121,0)</f>
        <v>5.3037937749999999</v>
      </c>
      <c r="F121" s="603">
        <f>[1]!srE2Rng($C$6,B121)</f>
        <v>1.1499976000000001</v>
      </c>
      <c r="G121" s="603">
        <f>[1]!srE2StLng($C$6,B121)</f>
        <v>0.17869981400000001</v>
      </c>
      <c r="H121" s="603">
        <f>[1]!srE2StLtr($C$6,B121)</f>
        <v>0.18229972699999999</v>
      </c>
    </row>
    <row r="122" spans="1:8">
      <c r="A122" s="605">
        <f t="shared" si="4"/>
        <v>3.9999900000000005E-2</v>
      </c>
      <c r="B122" s="604">
        <f t="shared" si="3"/>
        <v>3.9999900000000005E-2</v>
      </c>
      <c r="C122" s="603">
        <f>[1]!srE2LETe($C$6,B122,0)</f>
        <v>5.5769918000000001</v>
      </c>
      <c r="D122" s="603">
        <f>[1]!srE2LETn($C$6,B122,0)</f>
        <v>0.49750089599999997</v>
      </c>
      <c r="E122" s="603">
        <f>[1]!srE2LETt($C$6,B122,0)</f>
        <v>6.0744926960000001</v>
      </c>
      <c r="F122" s="603">
        <f>[1]!srE2Rng($C$6,B122)</f>
        <v>1.4399972000000001</v>
      </c>
      <c r="G122" s="603">
        <f>[1]!srE2StLng($C$6,B122)</f>
        <v>0.19849982800000002</v>
      </c>
      <c r="H122" s="603">
        <f>[1]!srE2StLtr($C$6,B122)</f>
        <v>0.21279972400000002</v>
      </c>
    </row>
    <row r="123" spans="1:8">
      <c r="A123" s="605">
        <f t="shared" si="4"/>
        <v>4.9999875000000006E-2</v>
      </c>
      <c r="B123" s="604">
        <f t="shared" si="3"/>
        <v>4.9999875000000006E-2</v>
      </c>
      <c r="C123" s="603">
        <f>[1]!srE2LETe($C$6,B123,0)</f>
        <v>6.315991125</v>
      </c>
      <c r="D123" s="603">
        <f>[1]!srE2LETn($C$6,B123,0)</f>
        <v>0.42600081499999998</v>
      </c>
      <c r="E123" s="603">
        <f>[1]!srE2LETt($C$6,B123,0)</f>
        <v>6.7419919400000001</v>
      </c>
      <c r="F123" s="603">
        <f>[1]!srE2Rng($C$6,B123)</f>
        <v>1.699997</v>
      </c>
      <c r="G123" s="603">
        <f>[1]!srE2StLng($C$6,B123)</f>
        <v>0.21299982749999999</v>
      </c>
      <c r="H123" s="603">
        <f>[1]!srE2StLtr($C$6,B123)</f>
        <v>0.23649972000000002</v>
      </c>
    </row>
    <row r="124" spans="1:8">
      <c r="A124" s="605">
        <f t="shared" si="4"/>
        <v>5.9999850000000007E-2</v>
      </c>
      <c r="B124" s="604">
        <f t="shared" ref="B124:B155" si="5">IF(A124&lt;=B$89,A124,NA())</f>
        <v>5.9999850000000007E-2</v>
      </c>
      <c r="C124" s="603">
        <f>[1]!srE2LETe($C$6,B124,0)</f>
        <v>6.9511909520000001</v>
      </c>
      <c r="D124" s="603">
        <f>[1]!srE2LETn($C$6,B124,0)</f>
        <v>0.37470068399999995</v>
      </c>
      <c r="E124" s="603">
        <f>[1]!srE2LETt($C$6,B124,0)</f>
        <v>7.3258916360000006</v>
      </c>
      <c r="F124" s="603">
        <f>[1]!srE2Rng($C$6,B124)</f>
        <v>1.9399964000000003</v>
      </c>
      <c r="G124" s="603">
        <f>[1]!srE2StLng($C$6,B124)</f>
        <v>0.22465984159999999</v>
      </c>
      <c r="H124" s="603">
        <f>[1]!srE2StLtr($C$6,B124)</f>
        <v>0.25549973600000003</v>
      </c>
    </row>
    <row r="125" spans="1:8">
      <c r="A125" s="605">
        <f t="shared" si="4"/>
        <v>6.9999825000000002E-2</v>
      </c>
      <c r="B125" s="604">
        <f t="shared" si="5"/>
        <v>6.9999825000000002E-2</v>
      </c>
      <c r="C125" s="603">
        <f>[1]!srE2LETe($C$6,B125,0)</f>
        <v>7.5187907880000004</v>
      </c>
      <c r="D125" s="603">
        <f>[1]!srE2LETn($C$6,B125,0)</f>
        <v>0.33492058520000001</v>
      </c>
      <c r="E125" s="603">
        <f>[1]!srE2LETt($C$6,B125,0)</f>
        <v>7.8537113732000003</v>
      </c>
      <c r="F125" s="603">
        <f>[1]!srE2Rng($C$6,B125)</f>
        <v>2.1659963599999998</v>
      </c>
      <c r="G125" s="603">
        <f>[1]!srE2StLng($C$6,B125)</f>
        <v>0.2341198572</v>
      </c>
      <c r="H125" s="603">
        <f>[1]!srE2StLtr($C$6,B125)</f>
        <v>0.27159974799999997</v>
      </c>
    </row>
    <row r="126" spans="1:8">
      <c r="A126" s="605">
        <f t="shared" si="4"/>
        <v>7.999980000000001E-2</v>
      </c>
      <c r="B126" s="604">
        <f t="shared" si="5"/>
        <v>7.999980000000001E-2</v>
      </c>
      <c r="C126" s="603">
        <f>[1]!srE2LETe($C$6,B126,0)</f>
        <v>8.0307900480000001</v>
      </c>
      <c r="D126" s="603">
        <f>[1]!srE2LETn($C$6,B126,0)</f>
        <v>0.30364058239999997</v>
      </c>
      <c r="E126" s="603">
        <f>[1]!srE2LETt($C$6,B126,0)</f>
        <v>8.3344306304</v>
      </c>
      <c r="F126" s="603">
        <f>[1]!srE2Rng($C$6,B126)</f>
        <v>2.3739958400000001</v>
      </c>
      <c r="G126" s="603">
        <f>[1]!srE2StLng($C$6,B126)</f>
        <v>0.24187985279999999</v>
      </c>
      <c r="H126" s="603">
        <f>[1]!srE2StLtr($C$6,B126)</f>
        <v>0.28535973760000005</v>
      </c>
    </row>
    <row r="127" spans="1:8">
      <c r="A127" s="605">
        <f t="shared" si="4"/>
        <v>8.9999775000000004E-2</v>
      </c>
      <c r="B127" s="604">
        <f t="shared" si="5"/>
        <v>8.9999775000000004E-2</v>
      </c>
      <c r="C127" s="603">
        <f>[1]!srE2LETe($C$6,B127,0)</f>
        <v>8.502189812000001</v>
      </c>
      <c r="D127" s="603">
        <f>[1]!srE2LETn($C$6,B127,0)</f>
        <v>0.27832051119999995</v>
      </c>
      <c r="E127" s="603">
        <f>[1]!srE2LETt($C$6,B127,0)</f>
        <v>8.7805103232000015</v>
      </c>
      <c r="F127" s="603">
        <f>[1]!srE2Rng($C$6,B127)</f>
        <v>2.5679956800000001</v>
      </c>
      <c r="G127" s="603">
        <f>[1]!srE2StLng($C$6,B127)</f>
        <v>0.24851986320000002</v>
      </c>
      <c r="H127" s="603">
        <f>[1]!srE2StLtr($C$6,B127)</f>
        <v>0.2973597516</v>
      </c>
    </row>
    <row r="128" spans="1:8">
      <c r="A128" s="605">
        <f t="shared" si="4"/>
        <v>9.9999750000000012E-2</v>
      </c>
      <c r="B128" s="604">
        <f t="shared" si="5"/>
        <v>9.9999750000000012E-2</v>
      </c>
      <c r="C128" s="603">
        <f>[1]!srE2LETe($C$6,B128,0)</f>
        <v>8.9439891200000012</v>
      </c>
      <c r="D128" s="603">
        <f>[1]!srE2LETn($C$6,B128,0)</f>
        <v>0.25700051200000001</v>
      </c>
      <c r="E128" s="603">
        <f>[1]!srE2LETt($C$6,B128,0)</f>
        <v>9.2009896320000006</v>
      </c>
      <c r="F128" s="603">
        <f>[1]!srE2Rng($C$6,B128)</f>
        <v>2.7599952000000001</v>
      </c>
      <c r="G128" s="603">
        <f>[1]!srE2StLng($C$6,B128)</f>
        <v>0.25429986000000004</v>
      </c>
      <c r="H128" s="603">
        <f>[1]!srE2StLtr($C$6,B128)</f>
        <v>0.30799974000000002</v>
      </c>
    </row>
    <row r="129" spans="1:8">
      <c r="A129" s="605">
        <f t="shared" si="4"/>
        <v>0.19999950000000002</v>
      </c>
      <c r="B129" s="604">
        <f t="shared" si="5"/>
        <v>0.19999950000000002</v>
      </c>
      <c r="C129" s="603">
        <f>[1]!srE2LETe($C$6,B129,0)</f>
        <v>12.2799862</v>
      </c>
      <c r="D129" s="603">
        <f>[1]!srE2LETn($C$6,B129,0)</f>
        <v>0.15080033199999998</v>
      </c>
      <c r="E129" s="603">
        <f>[1]!srE2LETt($C$6,B129,0)</f>
        <v>12.430786532000001</v>
      </c>
      <c r="F129" s="603">
        <f>[1]!srE2Rng($C$6,B129)</f>
        <v>4.329993</v>
      </c>
      <c r="G129" s="603">
        <f>[1]!srE2StLng($C$6,B129)</f>
        <v>0.29489982199999998</v>
      </c>
      <c r="H129" s="603">
        <f>[1]!srE2StLtr($C$6,B129)</f>
        <v>0.37439975400000003</v>
      </c>
    </row>
    <row r="130" spans="1:8">
      <c r="A130" s="605">
        <f t="shared" si="4"/>
        <v>0.29999925000000005</v>
      </c>
      <c r="B130" s="604">
        <f t="shared" si="5"/>
        <v>0.29999925000000005</v>
      </c>
      <c r="C130" s="603">
        <f>[1]!srE2LETe($C$6,B130,0)</f>
        <v>14.4099865</v>
      </c>
      <c r="D130" s="603">
        <f>[1]!srE2LETn($C$6,B130,0)</f>
        <v>0.10920023699999999</v>
      </c>
      <c r="E130" s="603">
        <f>[1]!srE2LETt($C$6,B130,0)</f>
        <v>14.519186737</v>
      </c>
      <c r="F130" s="603">
        <f>[1]!srE2Rng($C$6,B130)</f>
        <v>5.5999910000000002</v>
      </c>
      <c r="G130" s="603">
        <f>[1]!srE2StLng($C$6,B130)</f>
        <v>0.32079983500000003</v>
      </c>
      <c r="H130" s="603">
        <f>[1]!srE2StLtr($C$6,B130)</f>
        <v>0.41069977200000002</v>
      </c>
    </row>
    <row r="131" spans="1:8">
      <c r="A131" s="605">
        <f t="shared" si="4"/>
        <v>0.39999900000000005</v>
      </c>
      <c r="B131" s="604">
        <f t="shared" si="5"/>
        <v>0.39999900000000005</v>
      </c>
      <c r="C131" s="603">
        <f>[1]!srE2LETe($C$6,B131,0)</f>
        <v>15.839987600000001</v>
      </c>
      <c r="D131" s="603">
        <f>[1]!srE2LETn($C$6,B131,0)</f>
        <v>8.6530186799999992E-2</v>
      </c>
      <c r="E131" s="603">
        <f>[1]!srE2LETt($C$6,B131,0)</f>
        <v>15.9265177868</v>
      </c>
      <c r="F131" s="603">
        <f>[1]!srE2Rng($C$6,B131)</f>
        <v>6.7199891999999997</v>
      </c>
      <c r="G131" s="603">
        <f>[1]!srE2StLng($C$6,B131)</f>
        <v>0.33849984</v>
      </c>
      <c r="H131" s="603">
        <f>[1]!srE2StLtr($C$6,B131)</f>
        <v>0.43579977599999997</v>
      </c>
    </row>
    <row r="132" spans="1:8">
      <c r="A132" s="605">
        <f t="shared" si="4"/>
        <v>0.49999875000000005</v>
      </c>
      <c r="B132" s="604">
        <f t="shared" si="5"/>
        <v>0.49999875000000005</v>
      </c>
      <c r="C132" s="603">
        <f>[1]!srE2LETe($C$6,B132,0)</f>
        <v>16.829988999999998</v>
      </c>
      <c r="D132" s="603">
        <f>[1]!srE2LETn($C$6,B132,0)</f>
        <v>7.2100162499999995E-2</v>
      </c>
      <c r="E132" s="603">
        <f>[1]!srE2LETt($C$6,B132,0)</f>
        <v>16.902089162499998</v>
      </c>
      <c r="F132" s="603">
        <f>[1]!srE2Rng($C$6,B132)</f>
        <v>7.7699870000000004</v>
      </c>
      <c r="G132" s="603">
        <f>[1]!srE2StLng($C$6,B132)</f>
        <v>0.35619973999999999</v>
      </c>
      <c r="H132" s="603">
        <f>[1]!srE2StLtr($C$6,B132)</f>
        <v>0.45529976999999999</v>
      </c>
    </row>
    <row r="133" spans="1:8">
      <c r="A133" s="605">
        <f t="shared" ref="A133:A164" si="6">A124*10</f>
        <v>0.5999985000000001</v>
      </c>
      <c r="B133" s="604">
        <f t="shared" si="5"/>
        <v>0.5999985000000001</v>
      </c>
      <c r="C133" s="603">
        <f>[1]!srE2LETe($C$6,B133,0)</f>
        <v>17.499991600000001</v>
      </c>
      <c r="D133" s="603">
        <f>[1]!srE2LETn($C$6,B133,0)</f>
        <v>6.2164131039999987E-2</v>
      </c>
      <c r="E133" s="603">
        <f>[1]!srE2LETt($C$6,B133,0)</f>
        <v>17.562155731040001</v>
      </c>
      <c r="F133" s="603">
        <f>[1]!srE2Rng($C$6,B133)</f>
        <v>8.7659853600000002</v>
      </c>
      <c r="G133" s="603">
        <f>[1]!srE2StLng($C$6,B133)</f>
        <v>0.37765969760000001</v>
      </c>
      <c r="H133" s="603">
        <f>[1]!srE2StLtr($C$6,B133)</f>
        <v>0.47123977439999998</v>
      </c>
    </row>
    <row r="134" spans="1:8">
      <c r="A134" s="605">
        <f t="shared" si="6"/>
        <v>0.69999825000000004</v>
      </c>
      <c r="B134" s="604">
        <f t="shared" si="5"/>
        <v>0.69999825000000004</v>
      </c>
      <c r="C134" s="603">
        <f>[1]!srE2LETe($C$6,B134,0)</f>
        <v>17.96199412</v>
      </c>
      <c r="D134" s="603">
        <f>[1]!srE2LETn($C$6,B134,0)</f>
        <v>5.4644108639999994E-2</v>
      </c>
      <c r="E134" s="603">
        <f>[1]!srE2LETt($C$6,B134,0)</f>
        <v>18.016638228640002</v>
      </c>
      <c r="F134" s="603">
        <f>[1]!srE2Rng($C$6,B134)</f>
        <v>9.7299831999999995</v>
      </c>
      <c r="G134" s="603">
        <f>[1]!srE2StLng($C$6,B134)</f>
        <v>0.39669969199999999</v>
      </c>
      <c r="H134" s="603">
        <f>[1]!srE2StLtr($C$6,B134)</f>
        <v>0.48521977320000004</v>
      </c>
    </row>
    <row r="135" spans="1:8">
      <c r="A135" s="605">
        <f t="shared" si="6"/>
        <v>0.7999980000000001</v>
      </c>
      <c r="B135" s="604">
        <f t="shared" si="5"/>
        <v>0.7999980000000001</v>
      </c>
      <c r="C135" s="603">
        <f>[1]!srE2LETe($C$6,B135,0)</f>
        <v>18.257994879999998</v>
      </c>
      <c r="D135" s="603">
        <f>[1]!srE2LETn($C$6,B135,0)</f>
        <v>4.887610656E-2</v>
      </c>
      <c r="E135" s="603">
        <f>[1]!srE2LETt($C$6,B135,0)</f>
        <v>18.30687098656</v>
      </c>
      <c r="F135" s="603">
        <f>[1]!srE2Rng($C$6,B135)</f>
        <v>10.681981120000001</v>
      </c>
      <c r="G135" s="603">
        <f>[1]!srE2StLng($C$6,B135)</f>
        <v>0.41389966400000006</v>
      </c>
      <c r="H135" s="603">
        <f>[1]!srE2StLtr($C$6,B135)</f>
        <v>0.49769975999999999</v>
      </c>
    </row>
    <row r="136" spans="1:8">
      <c r="A136" s="605">
        <f t="shared" si="6"/>
        <v>0.89999775000000004</v>
      </c>
      <c r="B136" s="604">
        <f t="shared" si="5"/>
        <v>0.89999775000000004</v>
      </c>
      <c r="C136" s="603">
        <f>[1]!srE2LETe($C$6,B136,0)</f>
        <v>18.451997120000001</v>
      </c>
      <c r="D136" s="603">
        <f>[1]!srE2LETn($C$6,B136,0)</f>
        <v>4.4294091440000002E-2</v>
      </c>
      <c r="E136" s="603">
        <f>[1]!srE2LETt($C$6,B136,0)</f>
        <v>18.496291211440003</v>
      </c>
      <c r="F136" s="603">
        <f>[1]!srE2Rng($C$6,B136)</f>
        <v>11.611979120000001</v>
      </c>
      <c r="G136" s="603">
        <f>[1]!srE2StLng($C$6,B136)</f>
        <v>0.42983965439999999</v>
      </c>
      <c r="H136" s="603">
        <f>[1]!srE2StLtr($C$6,B136)</f>
        <v>0.50911975519999997</v>
      </c>
    </row>
    <row r="137" spans="1:8">
      <c r="A137" s="605">
        <f t="shared" si="6"/>
        <v>0.99999750000000009</v>
      </c>
      <c r="B137" s="604">
        <f t="shared" si="5"/>
        <v>0.99999750000000009</v>
      </c>
      <c r="C137" s="603">
        <f>[1]!srE2LETe($C$6,B137,0)</f>
        <v>18.5699972</v>
      </c>
      <c r="D137" s="603">
        <f>[1]!srE2LETn($C$6,B137,0)</f>
        <v>4.0510090399999997E-2</v>
      </c>
      <c r="E137" s="603">
        <f>[1]!srE2LETt($C$6,B137,0)</f>
        <v>18.610507290400001</v>
      </c>
      <c r="F137" s="603">
        <f>[1]!srE2Rng($C$6,B137)</f>
        <v>12.5399768</v>
      </c>
      <c r="G137" s="603">
        <f>[1]!srE2StLng($C$6,B137)</f>
        <v>0.44489962799999999</v>
      </c>
      <c r="H137" s="603">
        <f>[1]!srE2StLtr($C$6,B137)</f>
        <v>0.51969974000000008</v>
      </c>
    </row>
    <row r="138" spans="1:8">
      <c r="A138" s="605">
        <f t="shared" si="6"/>
        <v>1.9999950000000002</v>
      </c>
      <c r="B138" s="604">
        <f t="shared" si="5"/>
        <v>1.9999950000000002</v>
      </c>
      <c r="C138" s="603">
        <f>[1]!srE2LETe($C$6,B138,0)</f>
        <v>18.0400052</v>
      </c>
      <c r="D138" s="603">
        <f>[1]!srE2LETn($C$6,B138,0)</f>
        <v>2.2480054399999998E-2</v>
      </c>
      <c r="E138" s="603">
        <f>[1]!srE2LETt($C$6,B138,0)</f>
        <v>18.062485254400002</v>
      </c>
      <c r="F138" s="603">
        <f>[1]!srE2Rng($C$6,B138)</f>
        <v>21.859952800000002</v>
      </c>
      <c r="G138" s="603">
        <f>[1]!srE2StLng($C$6,B138)</f>
        <v>0.70129822000000008</v>
      </c>
      <c r="H138" s="603">
        <f>[1]!srE2StLtr($C$6,B138)</f>
        <v>0.60479961400000004</v>
      </c>
    </row>
    <row r="139" spans="1:8">
      <c r="A139" s="605">
        <f t="shared" si="6"/>
        <v>2.9999925000000003</v>
      </c>
      <c r="B139" s="604">
        <f t="shared" si="5"/>
        <v>2.9999925000000003</v>
      </c>
      <c r="C139" s="603">
        <f>[1]!srE2LETe($C$6,B139,0)</f>
        <v>16.410011699999998</v>
      </c>
      <c r="D139" s="603">
        <f>[1]!srE2LETn($C$6,B139,0)</f>
        <v>1.5850037199999997E-2</v>
      </c>
      <c r="E139" s="603">
        <f>[1]!srE2LETt($C$6,B139,0)</f>
        <v>16.425861737200002</v>
      </c>
      <c r="F139" s="603">
        <f>[1]!srE2Rng($C$6,B139)</f>
        <v>31.859922300000001</v>
      </c>
      <c r="G139" s="603">
        <f>[1]!srE2StLng($C$6,B139)</f>
        <v>1.0099977320000002</v>
      </c>
      <c r="H139" s="603">
        <f>[1]!srE2StLtr($C$6,B139)</f>
        <v>0.67879944800000014</v>
      </c>
    </row>
    <row r="140" spans="1:8">
      <c r="A140" s="605">
        <f t="shared" si="6"/>
        <v>3.9999900000000004</v>
      </c>
      <c r="B140" s="604">
        <f t="shared" si="5"/>
        <v>3.9999900000000004</v>
      </c>
      <c r="C140" s="603">
        <f>[1]!srE2LETe($C$6,B140,0)</f>
        <v>14.9700136</v>
      </c>
      <c r="D140" s="603">
        <f>[1]!srE2LETn($C$6,B140,0)</f>
        <v>1.2350028399999999E-2</v>
      </c>
      <c r="E140" s="603">
        <f>[1]!srE2LETt($C$6,B140,0)</f>
        <v>14.9823636284</v>
      </c>
      <c r="F140" s="603">
        <f>[1]!srE2Rng($C$6,B140)</f>
        <v>42.849886400000003</v>
      </c>
      <c r="G140" s="603">
        <f>[1]!srE2StLng($C$6,B140)</f>
        <v>1.2799972000000002</v>
      </c>
      <c r="H140" s="603">
        <f>[1]!srE2StLtr($C$6,B140)</f>
        <v>0.75349924000000013</v>
      </c>
    </row>
    <row r="141" spans="1:8">
      <c r="A141" s="605">
        <f t="shared" si="6"/>
        <v>4.9999875000000005</v>
      </c>
      <c r="B141" s="604">
        <f t="shared" si="5"/>
        <v>4.9999875000000005</v>
      </c>
      <c r="C141" s="603">
        <f>[1]!srE2LETe($C$6,B141,0)</f>
        <v>13.74001475</v>
      </c>
      <c r="D141" s="603">
        <f>[1]!srE2LETn($C$6,B141,0)</f>
        <v>1.01600245E-2</v>
      </c>
      <c r="E141" s="603">
        <f>[1]!srE2LETt($C$6,B141,0)</f>
        <v>13.750174774500001</v>
      </c>
      <c r="F141" s="603">
        <f>[1]!srE2Rng($C$6,B141)</f>
        <v>54.869846500000001</v>
      </c>
      <c r="G141" s="603">
        <f>[1]!srE2StLng($C$6,B141)</f>
        <v>1.6599937500000002</v>
      </c>
      <c r="H141" s="603">
        <f>[1]!srE2StLtr($C$6,B141)</f>
        <v>0.83199900500000012</v>
      </c>
    </row>
    <row r="142" spans="1:8">
      <c r="A142" s="605">
        <f t="shared" si="6"/>
        <v>5.9999850000000006</v>
      </c>
      <c r="B142" s="604">
        <f t="shared" si="5"/>
        <v>5.9999850000000006</v>
      </c>
      <c r="C142" s="603">
        <f>[1]!srE2LETe($C$6,B142,0)</f>
        <v>12.694014639999999</v>
      </c>
      <c r="D142" s="603">
        <f>[1]!srE2LETn($C$6,B142,0)</f>
        <v>8.6826194159999991E-3</v>
      </c>
      <c r="E142" s="603">
        <f>[1]!srE2LETt($C$6,B142,0)</f>
        <v>12.702697259416</v>
      </c>
      <c r="F142" s="603">
        <f>[1]!srE2Rng($C$6,B142)</f>
        <v>67.973797439999998</v>
      </c>
      <c r="G142" s="603">
        <f>[1]!srE2StLng($C$6,B142)</f>
        <v>2.2179920800000001</v>
      </c>
      <c r="H142" s="603">
        <f>[1]!srE2StLtr($C$6,B142)</f>
        <v>0.91581871120000002</v>
      </c>
    </row>
    <row r="143" spans="1:8">
      <c r="A143" s="605">
        <f t="shared" si="6"/>
        <v>6.9999825000000007</v>
      </c>
      <c r="B143" s="604">
        <f t="shared" si="5"/>
        <v>6.9999825000000007</v>
      </c>
      <c r="C143" s="603">
        <f>[1]!srE2LETe($C$6,B143,0)</f>
        <v>11.788014280000001</v>
      </c>
      <c r="D143" s="603">
        <f>[1]!srE2LETn($C$6,B143,0)</f>
        <v>7.5738158479999994E-3</v>
      </c>
      <c r="E143" s="603">
        <f>[1]!srE2LETt($C$6,B143,0)</f>
        <v>11.795588095848</v>
      </c>
      <c r="F143" s="603">
        <f>[1]!srE2Rng($C$6,B143)</f>
        <v>82.049741000000012</v>
      </c>
      <c r="G143" s="603">
        <f>[1]!srE2StLng($C$6,B143)</f>
        <v>2.7319913200000001</v>
      </c>
      <c r="H143" s="603">
        <f>[1]!srE2StLtr($C$6,B143)</f>
        <v>1.0046384124000001</v>
      </c>
    </row>
    <row r="144" spans="1:8">
      <c r="A144" s="605">
        <f t="shared" si="6"/>
        <v>7.9999800000000008</v>
      </c>
      <c r="B144" s="604">
        <f t="shared" si="5"/>
        <v>7.9999800000000008</v>
      </c>
      <c r="C144" s="603">
        <f>[1]!srE2LETe($C$6,B144,0)</f>
        <v>11.01201472</v>
      </c>
      <c r="D144" s="603">
        <f>[1]!srE2LETn($C$6,B144,0)</f>
        <v>6.7330155199999998E-3</v>
      </c>
      <c r="E144" s="603">
        <f>[1]!srE2LETt($C$6,B144,0)</f>
        <v>11.01874773552</v>
      </c>
      <c r="F144" s="603">
        <f>[1]!srE2Rng($C$6,B144)</f>
        <v>97.169691200000003</v>
      </c>
      <c r="G144" s="603">
        <f>[1]!srE2StLng($C$6,B144)</f>
        <v>3.2199904000000004</v>
      </c>
      <c r="H144" s="603">
        <f>[1]!srE2StLtr($C$6,B144)</f>
        <v>1.0979980800000002</v>
      </c>
    </row>
    <row r="145" spans="1:8">
      <c r="A145" s="605">
        <f t="shared" si="6"/>
        <v>8.9999775</v>
      </c>
      <c r="B145" s="604">
        <f t="shared" si="5"/>
        <v>8.9999775</v>
      </c>
      <c r="C145" s="603">
        <f>[1]!srE2LETe($C$6,B145,0)</f>
        <v>10.33401404</v>
      </c>
      <c r="D145" s="603">
        <f>[1]!srE2LETn($C$6,B145,0)</f>
        <v>6.068813248E-3</v>
      </c>
      <c r="E145" s="603">
        <f>[1]!srE2LETt($C$6,B145,0)</f>
        <v>10.340082853248001</v>
      </c>
      <c r="F145" s="603">
        <f>[1]!srE2Rng($C$6,B145)</f>
        <v>113.34362344</v>
      </c>
      <c r="G145" s="603">
        <f>[1]!srE2StLng($C$6,B145)</f>
        <v>3.6999892000000001</v>
      </c>
      <c r="H145" s="603">
        <f>[1]!srE2StLtr($C$6,B145)</f>
        <v>1.20399784</v>
      </c>
    </row>
    <row r="146" spans="1:8">
      <c r="A146" s="605">
        <f t="shared" si="6"/>
        <v>9.9999750000000009</v>
      </c>
      <c r="B146" s="604">
        <f t="shared" si="5"/>
        <v>9.9999750000000009</v>
      </c>
      <c r="C146" s="603">
        <f>[1]!srE2LETe($C$6,B146,0)</f>
        <v>9.7400143999999997</v>
      </c>
      <c r="D146" s="603">
        <f>[1]!srE2LETn($C$6,B146,0)</f>
        <v>5.5240129599999997E-3</v>
      </c>
      <c r="E146" s="603">
        <f>[1]!srE2LETt($C$6,B146,0)</f>
        <v>9.7455384129599985</v>
      </c>
      <c r="F146" s="603">
        <f>[1]!srE2Rng($C$6,B146)</f>
        <v>130.46956600000001</v>
      </c>
      <c r="G146" s="603">
        <f>[1]!srE2StLng($C$6,B146)</f>
        <v>4.1799879999999998</v>
      </c>
      <c r="H146" s="603">
        <f>[1]!srE2StLtr($C$6,B146)</f>
        <v>1.3099972000000002</v>
      </c>
    </row>
    <row r="147" spans="1:8">
      <c r="A147" s="605">
        <f t="shared" si="6"/>
        <v>19.999950000000002</v>
      </c>
      <c r="B147" s="604">
        <f t="shared" si="5"/>
        <v>19.999950000000002</v>
      </c>
      <c r="C147" s="603">
        <f>[1]!srE2LETe($C$6,B147,0)</f>
        <v>6.2700118999999992</v>
      </c>
      <c r="D147" s="603">
        <f>[1]!srE2LETn($C$6,B147,0)</f>
        <v>2.9830075399999998E-3</v>
      </c>
      <c r="E147" s="603">
        <f>[1]!srE2LETt($C$6,B147,0)</f>
        <v>6.2729949075399993</v>
      </c>
      <c r="F147" s="603">
        <f>[1]!srE2Rng($C$6,B147)</f>
        <v>356.71868680000006</v>
      </c>
      <c r="G147" s="603">
        <f>[1]!srE2StLng($C$6,B147)</f>
        <v>13.849928000000002</v>
      </c>
      <c r="H147" s="603">
        <f>[1]!srE2StLtr($C$6,B147)</f>
        <v>2.6899922000000003</v>
      </c>
    </row>
    <row r="148" spans="1:8">
      <c r="A148" s="605">
        <f t="shared" si="6"/>
        <v>29.999925000000005</v>
      </c>
      <c r="B148" s="604">
        <f t="shared" si="5"/>
        <v>29.999925000000005</v>
      </c>
      <c r="C148" s="603">
        <f>[1]!srE2LETe($C$6,B148,0)</f>
        <v>4.7690082799999995</v>
      </c>
      <c r="D148" s="603">
        <f>[1]!srE2LETn($C$6,B148,0)</f>
        <v>2.0740050699999996E-3</v>
      </c>
      <c r="E148" s="603">
        <f>[1]!srE2LETt($C$6,B148,0)</f>
        <v>4.7710822850700003</v>
      </c>
      <c r="F148" s="603">
        <f>[1]!srE2Rng($C$6,B148)</f>
        <v>676.02736540000012</v>
      </c>
      <c r="G148" s="603">
        <f>[1]!srE2StLng($C$6,B148)</f>
        <v>26.609907000000007</v>
      </c>
      <c r="H148" s="603">
        <f>[1]!srE2StLtr($C$6,B148)</f>
        <v>4.5999844000000003</v>
      </c>
    </row>
    <row r="149" spans="1:8">
      <c r="A149" s="605">
        <f t="shared" si="6"/>
        <v>39.999900000000004</v>
      </c>
      <c r="B149" s="604">
        <f t="shared" si="5"/>
        <v>39.999900000000004</v>
      </c>
      <c r="C149" s="603">
        <f>[1]!srE2LETe($C$6,B149,0)</f>
        <v>3.8800073999999998</v>
      </c>
      <c r="D149" s="603">
        <f>[1]!srE2LETn($C$6,B149,0)</f>
        <v>1.6010038399999998E-3</v>
      </c>
      <c r="E149" s="603">
        <f>[1]!srE2LETt($C$6,B149,0)</f>
        <v>3.8816084038399996</v>
      </c>
      <c r="F149" s="603">
        <f>[1]!srE2Rng($C$6,B149)</f>
        <v>1079.9956220000001</v>
      </c>
      <c r="G149" s="603">
        <f>[1]!srE2StLng($C$6,B149)</f>
        <v>39.109873600000007</v>
      </c>
      <c r="H149" s="603">
        <f>[1]!srE2StLtr($C$6,B149)</f>
        <v>6.9499748000000015</v>
      </c>
    </row>
    <row r="150" spans="1:8">
      <c r="A150" s="605">
        <f t="shared" si="6"/>
        <v>49.999875000000003</v>
      </c>
      <c r="B150" s="604">
        <f t="shared" si="5"/>
        <v>49.999875000000003</v>
      </c>
      <c r="C150" s="603">
        <f>[1]!srE2LETe($C$6,B150,0)</f>
        <v>3.2950067249999999</v>
      </c>
      <c r="D150" s="603">
        <f>[1]!srE2LETn($C$6,B150,0)</f>
        <v>1.309003275E-3</v>
      </c>
      <c r="E150" s="603">
        <f>[1]!srE2LETt($C$6,B150,0)</f>
        <v>3.2963157282749997</v>
      </c>
      <c r="F150" s="603">
        <f>[1]!srE2Rng($C$6,B150)</f>
        <v>1559.9937500000001</v>
      </c>
      <c r="G150" s="603">
        <f>[1]!srE2StLng($C$6,B150)</f>
        <v>57.819692500000009</v>
      </c>
      <c r="H150" s="603">
        <f>[1]!srE2StLtr($C$6,B150)</f>
        <v>9.7099642500000023</v>
      </c>
    </row>
    <row r="151" spans="1:8">
      <c r="A151" s="605">
        <f t="shared" si="6"/>
        <v>59.999850000000009</v>
      </c>
      <c r="B151" s="604">
        <f t="shared" si="5"/>
        <v>59.999850000000009</v>
      </c>
      <c r="C151" s="603">
        <f>[1]!srE2LETe($C$6,B151,0)</f>
        <v>2.8728055679999995</v>
      </c>
      <c r="D151" s="603">
        <f>[1]!srE2LETn($C$6,B151,0)</f>
        <v>1.1128025679999999E-3</v>
      </c>
      <c r="E151" s="603">
        <f>[1]!srE2LETt($C$6,B151,0)</f>
        <v>2.8739183705679996</v>
      </c>
      <c r="F151" s="603">
        <f>[1]!srE2Rng($C$6,B151)</f>
        <v>2127.9908800000007</v>
      </c>
      <c r="G151" s="603">
        <f>[1]!srE2StLng($C$6,B151)</f>
        <v>85.417600880000023</v>
      </c>
      <c r="H151" s="603">
        <f>[1]!srE2StLtr($C$6,B151)</f>
        <v>12.887950080000003</v>
      </c>
    </row>
    <row r="152" spans="1:8">
      <c r="A152" s="605">
        <f t="shared" si="6"/>
        <v>69.999825000000001</v>
      </c>
      <c r="B152" s="604">
        <f t="shared" si="5"/>
        <v>69.999825000000001</v>
      </c>
      <c r="C152" s="603">
        <f>[1]!srE2LETe($C$6,B152,0)</f>
        <v>2.5542045920000001</v>
      </c>
      <c r="D152" s="603">
        <f>[1]!srE2LETn($C$6,B152,0)</f>
        <v>9.6682208320000005E-4</v>
      </c>
      <c r="E152" s="603">
        <f>[1]!srE2LETt($C$6,B152,0)</f>
        <v>2.5551714140832003</v>
      </c>
      <c r="F152" s="603">
        <f>[1]!srE2Rng($C$6,B152)</f>
        <v>2765.9879599999999</v>
      </c>
      <c r="G152" s="603">
        <f>[1]!srE2StLng($C$6,B152)</f>
        <v>111.45155172</v>
      </c>
      <c r="H152" s="603">
        <f>[1]!srE2StLtr($C$6,B152)</f>
        <v>16.423933640000001</v>
      </c>
    </row>
    <row r="153" spans="1:8">
      <c r="A153" s="605">
        <f t="shared" si="6"/>
        <v>79.999800000000008</v>
      </c>
      <c r="B153" s="604">
        <f t="shared" si="5"/>
        <v>79.999800000000008</v>
      </c>
      <c r="C153" s="603">
        <f>[1]!srE2LETe($C$6,B153,0)</f>
        <v>2.3102045119999999</v>
      </c>
      <c r="D153" s="603">
        <f>[1]!srE2LETn($C$6,B153,0)</f>
        <v>8.5642203519999984E-4</v>
      </c>
      <c r="E153" s="603">
        <f>[1]!srE2LETt($C$6,B153,0)</f>
        <v>2.3110609340351997</v>
      </c>
      <c r="F153" s="603">
        <f>[1]!srE2Rng($C$6,B153)</f>
        <v>3477.9852800000008</v>
      </c>
      <c r="G153" s="603">
        <f>[1]!srE2StLng($C$6,B153)</f>
        <v>137.01948960000001</v>
      </c>
      <c r="H153" s="603">
        <f>[1]!srE2StLtr($C$6,B153)</f>
        <v>20.335919360000002</v>
      </c>
    </row>
    <row r="154" spans="1:8">
      <c r="A154" s="605">
        <f t="shared" si="6"/>
        <v>89.999775</v>
      </c>
      <c r="B154" s="604">
        <f t="shared" si="5"/>
        <v>89.999775</v>
      </c>
      <c r="C154" s="603">
        <f>[1]!srE2LETe($C$6,B154,0)</f>
        <v>2.1172038520000003</v>
      </c>
      <c r="D154" s="603">
        <f>[1]!srE2LETn($C$6,B154,0)</f>
        <v>7.696417244E-4</v>
      </c>
      <c r="E154" s="603">
        <f>[1]!srE2LETt($C$6,B154,0)</f>
        <v>2.1179734937244001</v>
      </c>
      <c r="F154" s="603">
        <f>[1]!srE2Rng($C$6,B154)</f>
        <v>4253.98164</v>
      </c>
      <c r="G154" s="603">
        <f>[1]!srE2StLng($C$6,B154)</f>
        <v>162.59142292000001</v>
      </c>
      <c r="H154" s="603">
        <f>[1]!srE2StLtr($C$6,B154)</f>
        <v>24.591899919999999</v>
      </c>
    </row>
    <row r="155" spans="1:8">
      <c r="A155" s="605">
        <f t="shared" si="6"/>
        <v>99.999750000000006</v>
      </c>
      <c r="B155" s="604">
        <f t="shared" si="5"/>
        <v>99.999750000000006</v>
      </c>
      <c r="C155" s="603">
        <f>[1]!srE2LETe($C$6,B155,0)</f>
        <v>1.9580038</v>
      </c>
      <c r="D155" s="603">
        <f>[1]!srE2LETn($C$6,B155,0)</f>
        <v>6.9870168799999999E-4</v>
      </c>
      <c r="E155" s="603">
        <f>[1]!srE2LETt($C$6,B155,0)</f>
        <v>1.958702501688</v>
      </c>
      <c r="F155" s="603">
        <f>[1]!srE2Rng($C$6,B155)</f>
        <v>5099.9784000000009</v>
      </c>
      <c r="G155" s="603">
        <f>[1]!srE2StLng($C$6,B155)</f>
        <v>188.31935559999999</v>
      </c>
      <c r="H155" s="603">
        <f>[1]!srE2StLtr($C$6,B155)</f>
        <v>29.169883600000006</v>
      </c>
    </row>
    <row r="156" spans="1:8">
      <c r="A156" s="605">
        <f t="shared" si="6"/>
        <v>199.99950000000001</v>
      </c>
      <c r="B156" s="604">
        <f t="shared" ref="B156:B172" si="7">IF(A156&lt;=B$89,A156,NA())</f>
        <v>199.99950000000001</v>
      </c>
      <c r="C156" s="603">
        <f>[1]!srE2LETe($C$6,B156,0)</f>
        <v>1.2150022</v>
      </c>
      <c r="D156" s="603">
        <f>[1]!srE2LETn($C$6,B156,0)</f>
        <v>3.7130096400000002E-4</v>
      </c>
      <c r="E156" s="603">
        <f>[1]!srE2LETt($C$6,B156,0)</f>
        <v>1.2153735009640001</v>
      </c>
      <c r="F156" s="603">
        <f>[1]!srE2Rng($C$6,B156)</f>
        <v>16739.932000000001</v>
      </c>
      <c r="G156" s="603">
        <f>[1]!srE2StLng($C$6,B156)</f>
        <v>704.98620800000015</v>
      </c>
      <c r="H156" s="603">
        <f>[1]!srE2StLtr($C$6,B156)</f>
        <v>89.909652200000011</v>
      </c>
    </row>
    <row r="157" spans="1:8">
      <c r="A157" s="605">
        <f t="shared" si="6"/>
        <v>299.99925000000007</v>
      </c>
      <c r="B157" s="604">
        <f t="shared" si="7"/>
        <v>299.99925000000007</v>
      </c>
      <c r="C157" s="603">
        <f>[1]!srE2LETe($C$6,B157,0)</f>
        <v>0.9542014339999999</v>
      </c>
      <c r="D157" s="603">
        <f>[1]!srE2LETn($C$6,B157,0)</f>
        <v>2.5610063899999993E-4</v>
      </c>
      <c r="E157" s="603">
        <f>[1]!srE2LETt($C$6,B157,0)</f>
        <v>0.95445753463899985</v>
      </c>
      <c r="F157" s="603">
        <f>[1]!srE2Rng($C$6,B157)</f>
        <v>32949.86770000001</v>
      </c>
      <c r="G157" s="603">
        <f>[1]!srE2StLng($C$6,B157)</f>
        <v>1349.9955000000004</v>
      </c>
      <c r="H157" s="603">
        <f>[1]!srE2StLtr($C$6,B157)</f>
        <v>170.10935770000009</v>
      </c>
    </row>
    <row r="158" spans="1:8">
      <c r="A158" s="605">
        <f t="shared" si="6"/>
        <v>399.99900000000002</v>
      </c>
      <c r="B158" s="604">
        <f t="shared" si="7"/>
        <v>399.99900000000002</v>
      </c>
      <c r="C158" s="603">
        <f>[1]!srE2LETe($C$6,B158,0)</f>
        <v>0.822601052</v>
      </c>
      <c r="D158" s="603">
        <f>[1]!srE2LETn($C$6,B158,0)</f>
        <v>1.96600484E-4</v>
      </c>
      <c r="E158" s="603">
        <f>[1]!srE2LETt($C$6,B158,0)</f>
        <v>0.82279765248399994</v>
      </c>
      <c r="F158" s="603">
        <f>[1]!srE2Rng($C$6,B158)</f>
        <v>52509.794000000002</v>
      </c>
      <c r="G158" s="603">
        <f>[1]!srE2StLng($C$6,B158)</f>
        <v>1939.9940000000001</v>
      </c>
      <c r="H158" s="603">
        <f>[1]!srE2StLtr($C$6,B158)</f>
        <v>262.38904360000004</v>
      </c>
    </row>
    <row r="159" spans="1:8">
      <c r="A159" s="605">
        <f t="shared" si="6"/>
        <v>499.99875000000003</v>
      </c>
      <c r="B159" s="604">
        <f t="shared" si="7"/>
        <v>499.99875000000003</v>
      </c>
      <c r="C159" s="603">
        <f>[1]!srE2LETe($C$6,B159,0)</f>
        <v>0.74460086250000002</v>
      </c>
      <c r="D159" s="603">
        <f>[1]!srE2LETn($C$6,B159,0)</f>
        <v>1.6010040749999999E-4</v>
      </c>
      <c r="E159" s="603">
        <f>[1]!srE2LETt($C$6,B159,0)</f>
        <v>0.74476096290750005</v>
      </c>
      <c r="F159" s="603">
        <f>[1]!srE2Rng($C$6,B159)</f>
        <v>74589.717250000002</v>
      </c>
      <c r="G159" s="603">
        <f>[1]!srE2StLng($C$6,B159)</f>
        <v>2729.9872500000001</v>
      </c>
      <c r="H159" s="603">
        <f>[1]!srE2StLtr($C$6,B159)</f>
        <v>362.11873550000001</v>
      </c>
    </row>
    <row r="160" spans="1:8">
      <c r="A160" s="605">
        <f t="shared" si="6"/>
        <v>599.99850000000015</v>
      </c>
      <c r="B160" s="604">
        <f t="shared" si="7"/>
        <v>599.99850000000015</v>
      </c>
      <c r="C160" s="603">
        <f>[1]!srE2LETe($C$6,B160,0)</f>
        <v>0.69452064319999995</v>
      </c>
      <c r="D160" s="603">
        <f>[1]!srE2LETn($C$6,B160,0)</f>
        <v>1.3572031919999996E-4</v>
      </c>
      <c r="E160" s="603">
        <f>[1]!srE2LETt($C$6,B160,0)</f>
        <v>0.6946563635191999</v>
      </c>
      <c r="F160" s="603">
        <f>[1]!srE2Rng($C$6,B160)</f>
        <v>98675.628960000031</v>
      </c>
      <c r="G160" s="603">
        <f>[1]!srE2StLng($C$6,B160)</f>
        <v>3827.9848800000013</v>
      </c>
      <c r="H160" s="603">
        <f>[1]!srE2StLtr($C$6,B160)</f>
        <v>466.36641888000014</v>
      </c>
    </row>
    <row r="161" spans="1:8">
      <c r="A161" s="605">
        <f t="shared" si="6"/>
        <v>699.99824999999998</v>
      </c>
      <c r="B161" s="604">
        <f t="shared" si="7"/>
        <v>699.99824999999998</v>
      </c>
      <c r="C161" s="603">
        <f>[1]!srE2LETe($C$6,B161,0)</f>
        <v>0.65892048719999996</v>
      </c>
      <c r="D161" s="603">
        <f>[1]!srE2LETn($C$6,B161,0)</f>
        <v>1.175602576E-4</v>
      </c>
      <c r="E161" s="603">
        <f>[1]!srE2LETt($C$6,B161,0)</f>
        <v>0.65903804745759997</v>
      </c>
      <c r="F161" s="603">
        <f>[1]!srE2Rng($C$6,B161)</f>
        <v>124155.53856</v>
      </c>
      <c r="G161" s="603">
        <f>[1]!srE2StLng($C$6,B161)</f>
        <v>4779.9845999999998</v>
      </c>
      <c r="H161" s="603">
        <f>[1]!srE2StLtr($C$6,B161)</f>
        <v>572.74612288000003</v>
      </c>
    </row>
    <row r="162" spans="1:8">
      <c r="A162" s="605">
        <f t="shared" si="6"/>
        <v>799.99800000000005</v>
      </c>
      <c r="B162" s="604">
        <f t="shared" si="7"/>
        <v>799.99800000000005</v>
      </c>
      <c r="C162" s="603">
        <f>[1]!srE2LETe($C$6,B162,0)</f>
        <v>0.63356045760000002</v>
      </c>
      <c r="D162" s="603">
        <f>[1]!srE2LETn($C$6,B162,0)</f>
        <v>1.038802528E-4</v>
      </c>
      <c r="E162" s="603">
        <f>[1]!srE2LETt($C$6,B162,0)</f>
        <v>0.63366433785279996</v>
      </c>
      <c r="F162" s="603">
        <f>[1]!srE2Rng($C$6,B162)</f>
        <v>150843.45984000002</v>
      </c>
      <c r="G162" s="603">
        <f>[1]!srE2StLng($C$6,B162)</f>
        <v>5635.9833600000002</v>
      </c>
      <c r="H162" s="603">
        <f>[1]!srE2StLtr($C$6,B162)</f>
        <v>680.1378496000001</v>
      </c>
    </row>
    <row r="163" spans="1:8">
      <c r="A163" s="605">
        <f t="shared" si="6"/>
        <v>899.99775</v>
      </c>
      <c r="B163" s="604">
        <f t="shared" si="7"/>
        <v>899.99775</v>
      </c>
      <c r="C163" s="603">
        <f>[1]!srE2LETe($C$6,B163,0)</f>
        <v>0.61480036000000005</v>
      </c>
      <c r="D163" s="603">
        <f>[1]!srE2LETn($C$6,B163,0)</f>
        <v>9.3190212400000007E-5</v>
      </c>
      <c r="E163" s="603">
        <f>[1]!srE2LETt($C$6,B163,0)</f>
        <v>0.61489355021240011</v>
      </c>
      <c r="F163" s="603">
        <f>[1]!srE2Rng($C$6,B163)</f>
        <v>178479.3682</v>
      </c>
      <c r="G163" s="603">
        <f>[1]!srE2StLng($C$6,B163)</f>
        <v>6427.98308</v>
      </c>
      <c r="H163" s="603">
        <f>[1]!srE2StLtr($C$6,B163)</f>
        <v>787.5175898</v>
      </c>
    </row>
    <row r="164" spans="1:8">
      <c r="A164" s="605">
        <f t="shared" si="6"/>
        <v>999.99750000000006</v>
      </c>
      <c r="B164" s="604">
        <f t="shared" si="7"/>
        <v>999.99750000000006</v>
      </c>
      <c r="C164" s="603">
        <f>[1]!srE2LETe($C$6,B164,0)</f>
        <v>0.60040033600000009</v>
      </c>
      <c r="D164" s="603">
        <f>[1]!srE2LETn($C$6,B164,0)</f>
        <v>8.4450208000000002E-5</v>
      </c>
      <c r="E164" s="603">
        <f>[1]!srE2LETt($C$6,B164,0)</f>
        <v>0.60048478620800005</v>
      </c>
      <c r="F164" s="603">
        <f>[1]!srE2Rng($C$6,B164)</f>
        <v>206819.28760000001</v>
      </c>
      <c r="G164" s="603">
        <f>[1]!srE2StLng($C$6,B164)</f>
        <v>7169.9816000000001</v>
      </c>
      <c r="H164" s="603">
        <f>[1]!srE2StLtr($C$6,B164)</f>
        <v>894.30733520000001</v>
      </c>
    </row>
    <row r="165" spans="1:8">
      <c r="A165" s="605">
        <f t="shared" ref="A165:A172" si="8">A156*10</f>
        <v>1999.9950000000001</v>
      </c>
      <c r="B165" s="604" t="e">
        <f t="shared" si="7"/>
        <v>#N/A</v>
      </c>
      <c r="C165" s="603" t="e">
        <f>[1]!srE2LETe($C$6,B165,0)</f>
        <v>#VALUE!</v>
      </c>
      <c r="D165" s="603" t="e">
        <f>[1]!srE2LETn($C$6,B165,0)</f>
        <v>#VALUE!</v>
      </c>
      <c r="E165" s="603" t="e">
        <f>[1]!srE2LETt($C$6,B165,0)</f>
        <v>#VALUE!</v>
      </c>
      <c r="F165" s="603" t="e">
        <f>[1]!srE2Rng($C$6,B165)</f>
        <v>#VALUE!</v>
      </c>
      <c r="G165" s="603" t="e">
        <f>[1]!srE2StLng($C$6,B165)</f>
        <v>#VALUE!</v>
      </c>
      <c r="H165" s="603" t="e">
        <f>[1]!srE2StLtr($C$6,B165)</f>
        <v>#VALUE!</v>
      </c>
    </row>
    <row r="166" spans="1:8">
      <c r="A166" s="605">
        <f t="shared" si="8"/>
        <v>2999.9925000000007</v>
      </c>
      <c r="B166" s="604" t="e">
        <f t="shared" si="7"/>
        <v>#N/A</v>
      </c>
      <c r="C166" s="603" t="e">
        <f>[1]!srE2LETe($C$6,B166,0)</f>
        <v>#VALUE!</v>
      </c>
      <c r="D166" s="603" t="e">
        <f>[1]!srE2LETn($C$6,B166,0)</f>
        <v>#VALUE!</v>
      </c>
      <c r="E166" s="603" t="e">
        <f>[1]!srE2LETt($C$6,B166,0)</f>
        <v>#VALUE!</v>
      </c>
      <c r="F166" s="603" t="e">
        <f>[1]!srE2Rng($C$6,B166)</f>
        <v>#VALUE!</v>
      </c>
      <c r="G166" s="603" t="e">
        <f>[1]!srE2StLng($C$6,B166)</f>
        <v>#VALUE!</v>
      </c>
      <c r="H166" s="603" t="e">
        <f>[1]!srE2StLtr($C$6,B166)</f>
        <v>#VALUE!</v>
      </c>
    </row>
    <row r="167" spans="1:8">
      <c r="A167" s="605">
        <f t="shared" si="8"/>
        <v>3999.9900000000002</v>
      </c>
      <c r="B167" s="604" t="e">
        <f t="shared" si="7"/>
        <v>#N/A</v>
      </c>
      <c r="C167" s="603" t="e">
        <f>[1]!srE2LETe($C$6,B167,0)</f>
        <v>#VALUE!</v>
      </c>
      <c r="D167" s="603" t="e">
        <f>[1]!srE2LETn($C$6,B167,0)</f>
        <v>#VALUE!</v>
      </c>
      <c r="E167" s="603" t="e">
        <f>[1]!srE2LETt($C$6,B167,0)</f>
        <v>#VALUE!</v>
      </c>
      <c r="F167" s="603" t="e">
        <f>[1]!srE2Rng($C$6,B167)</f>
        <v>#VALUE!</v>
      </c>
      <c r="G167" s="603" t="e">
        <f>[1]!srE2StLng($C$6,B167)</f>
        <v>#VALUE!</v>
      </c>
      <c r="H167" s="603" t="e">
        <f>[1]!srE2StLtr($C$6,B167)</f>
        <v>#VALUE!</v>
      </c>
    </row>
    <row r="168" spans="1:8">
      <c r="A168" s="605">
        <f t="shared" si="8"/>
        <v>4999.9875000000002</v>
      </c>
      <c r="B168" s="604" t="e">
        <f t="shared" si="7"/>
        <v>#N/A</v>
      </c>
      <c r="C168" s="603" t="e">
        <f>[1]!srE2LETe($C$6,B168,0)</f>
        <v>#VALUE!</v>
      </c>
      <c r="D168" s="603" t="e">
        <f>[1]!srE2LETn($C$6,B168,0)</f>
        <v>#VALUE!</v>
      </c>
      <c r="E168" s="603" t="e">
        <f>[1]!srE2LETt($C$6,B168,0)</f>
        <v>#VALUE!</v>
      </c>
      <c r="F168" s="603" t="e">
        <f>[1]!srE2Rng($C$6,B168)</f>
        <v>#VALUE!</v>
      </c>
      <c r="G168" s="603" t="e">
        <f>[1]!srE2StLng($C$6,B168)</f>
        <v>#VALUE!</v>
      </c>
      <c r="H168" s="603" t="e">
        <f>[1]!srE2StLtr($C$6,B168)</f>
        <v>#VALUE!</v>
      </c>
    </row>
    <row r="169" spans="1:8">
      <c r="A169" s="605">
        <f t="shared" si="8"/>
        <v>5999.9850000000015</v>
      </c>
      <c r="B169" s="604" t="e">
        <f t="shared" si="7"/>
        <v>#N/A</v>
      </c>
      <c r="C169" s="603" t="e">
        <f>[1]!srE2LETe($C$6,B169,0)</f>
        <v>#VALUE!</v>
      </c>
      <c r="D169" s="603" t="e">
        <f>[1]!srE2LETn($C$6,B169,0)</f>
        <v>#VALUE!</v>
      </c>
      <c r="E169" s="603" t="e">
        <f>[1]!srE2LETt($C$6,B169,0)</f>
        <v>#VALUE!</v>
      </c>
      <c r="F169" s="603" t="e">
        <f>[1]!srE2Rng($C$6,B169)</f>
        <v>#VALUE!</v>
      </c>
      <c r="G169" s="603" t="e">
        <f>[1]!srE2StLng($C$6,B169)</f>
        <v>#VALUE!</v>
      </c>
      <c r="H169" s="603" t="e">
        <f>[1]!srE2StLtr($C$6,B169)</f>
        <v>#VALUE!</v>
      </c>
    </row>
    <row r="170" spans="1:8">
      <c r="A170" s="605">
        <f t="shared" si="8"/>
        <v>6999.9825000000001</v>
      </c>
      <c r="B170" s="604" t="e">
        <f t="shared" si="7"/>
        <v>#N/A</v>
      </c>
      <c r="C170" s="603" t="e">
        <f>[1]!srE2LETe($C$6,B170,0)</f>
        <v>#VALUE!</v>
      </c>
      <c r="D170" s="603" t="e">
        <f>[1]!srE2LETn($C$6,B170,0)</f>
        <v>#VALUE!</v>
      </c>
      <c r="E170" s="603" t="e">
        <f>[1]!srE2LETt($C$6,B170,0)</f>
        <v>#VALUE!</v>
      </c>
      <c r="F170" s="603" t="e">
        <f>[1]!srE2Rng($C$6,B170)</f>
        <v>#VALUE!</v>
      </c>
      <c r="G170" s="603" t="e">
        <f>[1]!srE2StLng($C$6,B170)</f>
        <v>#VALUE!</v>
      </c>
      <c r="H170" s="603" t="e">
        <f>[1]!srE2StLtr($C$6,B170)</f>
        <v>#VALUE!</v>
      </c>
    </row>
    <row r="171" spans="1:8">
      <c r="A171" s="605">
        <f t="shared" si="8"/>
        <v>7999.9800000000005</v>
      </c>
      <c r="B171" s="604" t="e">
        <f t="shared" si="7"/>
        <v>#N/A</v>
      </c>
      <c r="C171" s="603" t="e">
        <f>[1]!srE2LETe($C$6,B171,0)</f>
        <v>#VALUE!</v>
      </c>
      <c r="D171" s="603" t="e">
        <f>[1]!srE2LETn($C$6,B171,0)</f>
        <v>#VALUE!</v>
      </c>
      <c r="E171" s="603" t="e">
        <f>[1]!srE2LETt($C$6,B171,0)</f>
        <v>#VALUE!</v>
      </c>
      <c r="F171" s="603" t="e">
        <f>[1]!srE2Rng($C$6,B171)</f>
        <v>#VALUE!</v>
      </c>
      <c r="G171" s="603" t="e">
        <f>[1]!srE2StLng($C$6,B171)</f>
        <v>#VALUE!</v>
      </c>
      <c r="H171" s="603" t="e">
        <f>[1]!srE2StLtr($C$6,B171)</f>
        <v>#VALUE!</v>
      </c>
    </row>
    <row r="172" spans="1:8">
      <c r="A172" s="605">
        <f t="shared" si="8"/>
        <v>8999.9775000000009</v>
      </c>
      <c r="B172" s="604" t="e">
        <f t="shared" si="7"/>
        <v>#N/A</v>
      </c>
      <c r="C172" s="603" t="e">
        <f>[1]!srE2LETe($C$6,B172,0)</f>
        <v>#VALUE!</v>
      </c>
      <c r="D172" s="603" t="e">
        <f>[1]!srE2LETn($C$6,B172,0)</f>
        <v>#VALUE!</v>
      </c>
      <c r="E172" s="603" t="e">
        <f>[1]!srE2LETt($C$6,B172,0)</f>
        <v>#VALUE!</v>
      </c>
      <c r="F172" s="603" t="e">
        <f>[1]!srE2Rng($C$6,B172)</f>
        <v>#VALUE!</v>
      </c>
      <c r="G172" s="603" t="e">
        <f>[1]!srE2StLng($C$6,B172)</f>
        <v>#VALUE!</v>
      </c>
      <c r="H172" s="603" t="e">
        <f>[1]!srE2StLtr($C$6,B172)</f>
        <v>#VALUE!</v>
      </c>
    </row>
  </sheetData>
  <phoneticPr fontId="24"/>
  <conditionalFormatting sqref="G20">
    <cfRule type="cellIs" dxfId="39" priority="1" operator="equal">
      <formula>TRUE</formula>
    </cfRule>
  </conditionalFormatting>
  <pageMargins left="0.23622047244094491" right="0.23622047244094491" top="0.39370078740157483" bottom="0.39370078740157483" header="0.31496062992125984" footer="0.31496062992125984"/>
  <pageSetup paperSize="9" scale="70" fitToHeight="0" pageOrder="overThenDown" orientation="landscape" r:id="rId1"/>
  <headerFooter>
    <oddHeader>&amp;L&amp;F&amp;A</oddHeader>
    <oddFooter>&amp;C&amp;P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2:O47"/>
  <sheetViews>
    <sheetView zoomScale="80" zoomScaleNormal="80" workbookViewId="0">
      <selection activeCell="C23" sqref="C23"/>
    </sheetView>
  </sheetViews>
  <sheetFormatPr defaultRowHeight="13.5"/>
  <cols>
    <col min="1" max="1" width="4.125" style="11" customWidth="1"/>
    <col min="2" max="2" width="11.75" style="11" customWidth="1"/>
    <col min="3" max="3" width="12.75" style="11" customWidth="1"/>
    <col min="4" max="9" width="10.125" style="11" customWidth="1"/>
    <col min="10" max="11" width="8.75" style="11" customWidth="1"/>
    <col min="12" max="13" width="8.25" style="11" customWidth="1"/>
    <col min="14" max="16384" width="9" style="11"/>
  </cols>
  <sheetData>
    <row r="2" spans="1:15" s="32" customFormat="1" ht="18.75">
      <c r="B2" s="33" t="str">
        <f>BkTitle1</f>
        <v>SRIMfit_dbg</v>
      </c>
      <c r="F2" s="60" t="str">
        <f>BkTitle2</f>
        <v>AddInマクロ版 : セル内の式 = srFuncName()</v>
      </c>
    </row>
    <row r="3" spans="1:15" ht="6" customHeight="1"/>
    <row r="4" spans="1:15" ht="14.25">
      <c r="B4" s="34" t="s">
        <v>463</v>
      </c>
      <c r="F4" s="11" t="s">
        <v>240</v>
      </c>
    </row>
    <row r="5" spans="1:15">
      <c r="C5" s="2"/>
      <c r="D5" s="3"/>
      <c r="E5" s="1"/>
      <c r="F5" s="3"/>
      <c r="G5" s="1"/>
      <c r="H5" s="1"/>
      <c r="I5" s="1"/>
      <c r="J5" s="1"/>
    </row>
    <row r="6" spans="1:15">
      <c r="C6" s="12" t="s">
        <v>10</v>
      </c>
      <c r="D6" s="174" t="s">
        <v>430</v>
      </c>
      <c r="E6" s="339"/>
      <c r="F6" s="13" t="s">
        <v>9</v>
      </c>
      <c r="I6" s="14"/>
      <c r="J6" s="15"/>
      <c r="K6" s="14"/>
      <c r="L6" s="14"/>
      <c r="M6" s="4"/>
    </row>
    <row r="7" spans="1:15">
      <c r="C7" s="16"/>
      <c r="D7" s="5"/>
      <c r="E7" s="5"/>
      <c r="F7" s="35"/>
      <c r="G7" s="36"/>
      <c r="H7" s="36"/>
      <c r="I7" s="37"/>
      <c r="J7" s="599" t="s">
        <v>122</v>
      </c>
      <c r="K7" s="17"/>
      <c r="L7" s="17"/>
      <c r="M7" s="14"/>
      <c r="N7" s="36"/>
    </row>
    <row r="8" spans="1:15">
      <c r="C8" s="2" t="s">
        <v>21</v>
      </c>
      <c r="D8" s="43" t="s">
        <v>18</v>
      </c>
      <c r="E8" s="43" t="s">
        <v>19</v>
      </c>
      <c r="F8" s="6"/>
      <c r="G8" s="12" t="s">
        <v>13</v>
      </c>
      <c r="H8" s="340">
        <v>0</v>
      </c>
      <c r="I8" s="22" t="s">
        <v>14</v>
      </c>
      <c r="J8" s="168" t="str">
        <f>[1]!srLETUNm(H8)</f>
        <v>MeV/(mg/cm2)</v>
      </c>
      <c r="K8" s="40"/>
      <c r="L8" s="74"/>
      <c r="M8" s="75"/>
      <c r="N8" s="1"/>
      <c r="O8" s="10"/>
    </row>
    <row r="9" spans="1:15">
      <c r="B9" s="80" t="s">
        <v>115</v>
      </c>
      <c r="C9" s="18" t="s">
        <v>114</v>
      </c>
      <c r="D9" s="78">
        <f>[1]!srIxEmin(D6)</f>
        <v>20</v>
      </c>
      <c r="E9" s="79">
        <f>[1]!srIxEmax(D6)</f>
        <v>228</v>
      </c>
      <c r="F9" s="6"/>
      <c r="G9" s="52"/>
      <c r="H9" s="50" t="s">
        <v>15</v>
      </c>
      <c r="I9" s="50" t="s">
        <v>16</v>
      </c>
      <c r="J9" s="51" t="s">
        <v>17</v>
      </c>
      <c r="K9" s="5"/>
      <c r="L9" s="74"/>
      <c r="M9" s="75"/>
      <c r="N9" s="1"/>
      <c r="O9" s="10"/>
    </row>
    <row r="10" spans="1:15">
      <c r="B10" s="80" t="s">
        <v>116</v>
      </c>
      <c r="C10" s="20" t="s">
        <v>20</v>
      </c>
      <c r="D10" s="46">
        <f>[1]!srMinE(D6)</f>
        <v>9.9999750000000008E-6</v>
      </c>
      <c r="E10" s="47">
        <f>[1]!srMaxE(D6)</f>
        <v>1000</v>
      </c>
      <c r="F10" s="5"/>
      <c r="G10" s="81" t="s">
        <v>1</v>
      </c>
      <c r="H10" s="82">
        <f>[1]!srMaxLETt(D6,H8)</f>
        <v>18.666679999999999</v>
      </c>
      <c r="I10" s="82">
        <f>[1]!srMaxLETe(D6,H8)</f>
        <v>18.63</v>
      </c>
      <c r="J10" s="83">
        <f>[1]!srMaxLETn(D6,H8)</f>
        <v>2.5070000000000001</v>
      </c>
      <c r="K10" s="5" t="s">
        <v>11</v>
      </c>
      <c r="L10" s="7"/>
      <c r="M10" s="76"/>
      <c r="N10" s="1"/>
      <c r="O10" s="10"/>
    </row>
    <row r="11" spans="1:15">
      <c r="B11" s="80" t="s">
        <v>117</v>
      </c>
      <c r="C11" s="20" t="s">
        <v>22</v>
      </c>
      <c r="D11" s="46">
        <f>[1]!srMinRng(D6)</f>
        <v>2.1000000000000003E-3</v>
      </c>
      <c r="E11" s="47">
        <f>[1]!srMaxRng(D6)</f>
        <v>206820</v>
      </c>
      <c r="F11" s="5"/>
      <c r="G11" s="84"/>
      <c r="H11" s="599" t="s">
        <v>120</v>
      </c>
      <c r="I11" s="599" t="s">
        <v>121</v>
      </c>
      <c r="J11" s="600" t="s">
        <v>122</v>
      </c>
      <c r="L11" s="41"/>
      <c r="M11" s="36"/>
      <c r="N11" s="36"/>
      <c r="O11" s="10"/>
    </row>
    <row r="12" spans="1:15">
      <c r="B12" s="80" t="s">
        <v>118</v>
      </c>
      <c r="C12" s="20" t="s">
        <v>23</v>
      </c>
      <c r="D12" s="46">
        <f>[1]!srMinStLng(D6)</f>
        <v>1.2000000000000001E-3</v>
      </c>
      <c r="E12" s="47">
        <f>[1]!srMaxStLng(D6)</f>
        <v>7170</v>
      </c>
      <c r="F12" s="40"/>
      <c r="G12" s="18" t="s">
        <v>12</v>
      </c>
      <c r="H12" s="82">
        <f>[1]!srMaxLETt2E(D6)</f>
        <v>1.125</v>
      </c>
      <c r="I12" s="82">
        <f>[1]!srMaxLETe2E(D6)</f>
        <v>1.25</v>
      </c>
      <c r="J12" s="86">
        <f>[1]!srMaxLETn2E(D6)</f>
        <v>5.6249999999999996E-4</v>
      </c>
      <c r="K12" s="5" t="s">
        <v>0</v>
      </c>
      <c r="L12" s="41"/>
      <c r="M12" s="36"/>
      <c r="N12" s="36"/>
      <c r="O12" s="10"/>
    </row>
    <row r="13" spans="1:15">
      <c r="B13" s="80" t="s">
        <v>119</v>
      </c>
      <c r="C13" s="21" t="s">
        <v>24</v>
      </c>
      <c r="D13" s="48">
        <f>[1]!srMinStLtr(D6)</f>
        <v>8.9999999999999998E-4</v>
      </c>
      <c r="E13" s="49">
        <f>[1]!srMaxStLtr(D6)</f>
        <v>894.31</v>
      </c>
      <c r="F13" s="40"/>
      <c r="G13" s="85"/>
      <c r="H13" s="601" t="s">
        <v>123</v>
      </c>
      <c r="I13" s="601" t="s">
        <v>124</v>
      </c>
      <c r="J13" s="602" t="s">
        <v>125</v>
      </c>
      <c r="L13" s="41"/>
      <c r="M13" s="146" t="s">
        <v>137</v>
      </c>
      <c r="N13" s="36"/>
      <c r="O13" s="10"/>
    </row>
    <row r="14" spans="1:15">
      <c r="C14" s="6"/>
      <c r="D14" s="44"/>
      <c r="E14" s="45"/>
      <c r="F14" s="39"/>
      <c r="G14" s="40"/>
      <c r="H14" s="38"/>
      <c r="I14" s="36"/>
      <c r="J14" s="40"/>
      <c r="K14" s="38"/>
      <c r="L14" s="36"/>
      <c r="M14" s="36"/>
      <c r="N14" s="36"/>
      <c r="O14" s="10"/>
    </row>
    <row r="15" spans="1:15">
      <c r="A15" s="9"/>
      <c r="B15" s="9"/>
      <c r="C15" s="57" t="s">
        <v>26</v>
      </c>
      <c r="D15" s="53" t="s">
        <v>27</v>
      </c>
      <c r="E15" s="54" t="s">
        <v>28</v>
      </c>
      <c r="F15" s="56" t="s">
        <v>29</v>
      </c>
      <c r="G15" s="55" t="s">
        <v>31</v>
      </c>
      <c r="H15" s="53" t="s">
        <v>32</v>
      </c>
      <c r="I15" s="56" t="s">
        <v>33</v>
      </c>
      <c r="J15" s="9"/>
      <c r="K15" s="9"/>
    </row>
    <row r="16" spans="1:15">
      <c r="A16" s="9"/>
      <c r="B16" s="90" t="s">
        <v>127</v>
      </c>
      <c r="C16" s="91" t="s">
        <v>25</v>
      </c>
      <c r="D16" s="92" t="s">
        <v>30</v>
      </c>
      <c r="E16" s="5"/>
      <c r="F16" s="93"/>
      <c r="G16" s="89" t="s">
        <v>34</v>
      </c>
      <c r="H16" s="94" t="s">
        <v>34</v>
      </c>
      <c r="I16" s="95" t="s">
        <v>34</v>
      </c>
      <c r="J16" s="9"/>
      <c r="K16" s="9"/>
    </row>
    <row r="17" spans="2:11">
      <c r="B17" s="120">
        <f>D9</f>
        <v>20</v>
      </c>
      <c r="C17" s="103">
        <f t="array" ref="C17:I17">[1]!srIx2ValAry(D6,B17)</f>
        <v>9.9999750000000008E-6</v>
      </c>
      <c r="D17" s="104">
        <v>8.8800000000000004E-2</v>
      </c>
      <c r="E17" s="104">
        <v>0.9204</v>
      </c>
      <c r="F17" s="104">
        <v>1.0092000000000001</v>
      </c>
      <c r="G17" s="105">
        <v>2.1000000000000003E-3</v>
      </c>
      <c r="H17" s="105">
        <v>1.2000000000000001E-3</v>
      </c>
      <c r="I17" s="106">
        <v>8.9999999999999998E-4</v>
      </c>
      <c r="J17" s="77"/>
      <c r="K17" s="9"/>
    </row>
    <row r="18" spans="2:11">
      <c r="B18" s="121">
        <f>B17+1</f>
        <v>21</v>
      </c>
      <c r="C18" s="107">
        <f t="array" ref="C18:I18">[1]!srIx2ValAry(D6,B18)</f>
        <v>1.1249975000000001E-5</v>
      </c>
      <c r="D18" s="108">
        <v>9.418E-2</v>
      </c>
      <c r="E18" s="108">
        <v>0.96819999999999995</v>
      </c>
      <c r="F18" s="108">
        <v>1.0623799999999999</v>
      </c>
      <c r="G18" s="109">
        <v>2.1999999999999997E-3</v>
      </c>
      <c r="H18" s="109">
        <v>1.2999999999999999E-3</v>
      </c>
      <c r="I18" s="110">
        <v>8.9999999999999998E-4</v>
      </c>
      <c r="J18" s="9"/>
      <c r="K18" s="9"/>
    </row>
    <row r="19" spans="2:11">
      <c r="B19" s="96" t="s">
        <v>128</v>
      </c>
      <c r="C19" s="111"/>
      <c r="D19" s="111"/>
      <c r="E19" s="111"/>
      <c r="F19" s="111"/>
      <c r="G19" s="111"/>
      <c r="H19" s="111"/>
      <c r="I19" s="149" t="s">
        <v>126</v>
      </c>
      <c r="J19" s="9"/>
      <c r="K19" s="9"/>
    </row>
    <row r="20" spans="2:11">
      <c r="B20" s="121">
        <f>B21-1</f>
        <v>227</v>
      </c>
      <c r="C20" s="113">
        <f t="array" ref="C20:I20">[1]!srIx2ValAry(D6,B20)</f>
        <v>937.5</v>
      </c>
      <c r="D20" s="108">
        <v>0.60880000000000001</v>
      </c>
      <c r="E20" s="108">
        <v>8.9649999999999997E-5</v>
      </c>
      <c r="F20" s="108">
        <v>0.60888965000000006</v>
      </c>
      <c r="G20" s="114">
        <v>189010</v>
      </c>
      <c r="H20" s="114">
        <v>6710</v>
      </c>
      <c r="I20" s="115">
        <v>827.69</v>
      </c>
      <c r="J20" s="9"/>
      <c r="K20" s="9"/>
    </row>
    <row r="21" spans="2:11">
      <c r="B21" s="122">
        <f>E9</f>
        <v>228</v>
      </c>
      <c r="C21" s="116">
        <f t="array" ref="C21:I21">[1]!srIx2ValAry(D6,B21)</f>
        <v>1000</v>
      </c>
      <c r="D21" s="117">
        <v>0.60040000000000004</v>
      </c>
      <c r="E21" s="117">
        <v>8.4450000000000006E-5</v>
      </c>
      <c r="F21" s="117">
        <v>0.60048445000000006</v>
      </c>
      <c r="G21" s="118">
        <v>206820</v>
      </c>
      <c r="H21" s="118">
        <v>7170</v>
      </c>
      <c r="I21" s="119">
        <v>894.31</v>
      </c>
      <c r="J21" s="9"/>
      <c r="K21" s="9"/>
    </row>
    <row r="22" spans="2:11">
      <c r="B22" s="80" t="s">
        <v>129</v>
      </c>
      <c r="C22" s="138" t="s">
        <v>255</v>
      </c>
      <c r="D22" s="9"/>
      <c r="E22" s="9"/>
      <c r="F22" s="9"/>
      <c r="G22" s="9"/>
      <c r="H22" s="9"/>
      <c r="I22" s="9"/>
      <c r="J22" s="9"/>
      <c r="K22" s="9"/>
    </row>
    <row r="23" spans="2:11">
      <c r="B23" s="126">
        <f>[1]!srE2Ix(D6,C23)</f>
        <v>152</v>
      </c>
      <c r="C23" s="338">
        <v>1.2</v>
      </c>
      <c r="D23" s="9"/>
      <c r="E23" s="9"/>
      <c r="F23" s="9"/>
      <c r="G23" s="9"/>
      <c r="H23" s="9"/>
      <c r="I23" s="9"/>
      <c r="J23" s="9"/>
      <c r="K23" s="9"/>
    </row>
    <row r="24" spans="2:11">
      <c r="B24" s="147">
        <f>B23-2</f>
        <v>150</v>
      </c>
      <c r="C24" s="97">
        <f t="array" ref="C24:I24">[1]!srIx2ValAry(D6,B24)</f>
        <v>1</v>
      </c>
      <c r="D24" s="104">
        <v>18.57</v>
      </c>
      <c r="E24" s="104">
        <v>4.0509999999999997E-2</v>
      </c>
      <c r="F24" s="104">
        <v>18.610510000000001</v>
      </c>
      <c r="G24" s="98">
        <v>12.54</v>
      </c>
      <c r="H24" s="98">
        <v>0.44489999999999996</v>
      </c>
      <c r="I24" s="99">
        <v>0.51970000000000005</v>
      </c>
      <c r="J24" s="9"/>
      <c r="K24" s="9"/>
    </row>
    <row r="25" spans="2:11">
      <c r="B25" s="133">
        <f>B23-1</f>
        <v>151</v>
      </c>
      <c r="C25" s="100">
        <f t="array" ref="C25:I25">[1]!srIx2ValAry(D6,B25)</f>
        <v>1.125</v>
      </c>
      <c r="D25" s="108">
        <v>18.63</v>
      </c>
      <c r="E25" s="108">
        <v>3.6679999999999997E-2</v>
      </c>
      <c r="F25" s="108">
        <v>18.666679999999999</v>
      </c>
      <c r="G25" s="101">
        <v>13.7</v>
      </c>
      <c r="H25" s="101">
        <v>0.47689999999999999</v>
      </c>
      <c r="I25" s="102">
        <v>0.53200000000000003</v>
      </c>
      <c r="J25" s="9"/>
      <c r="K25" s="9"/>
    </row>
    <row r="26" spans="2:11">
      <c r="B26" s="320">
        <f>B23</f>
        <v>152</v>
      </c>
      <c r="C26" s="321">
        <f t="array" ref="C26:I26">[1]!srIx2ValAry(D6,B26)</f>
        <v>1.25</v>
      </c>
      <c r="D26" s="322">
        <v>18.63</v>
      </c>
      <c r="E26" s="322">
        <v>3.3550000000000003E-2</v>
      </c>
      <c r="F26" s="322">
        <v>18.663550000000001</v>
      </c>
      <c r="G26" s="323">
        <v>14.85</v>
      </c>
      <c r="H26" s="323">
        <v>0.50670000000000004</v>
      </c>
      <c r="I26" s="324">
        <v>0.54359999999999997</v>
      </c>
      <c r="J26" s="9"/>
      <c r="K26" s="9"/>
    </row>
    <row r="27" spans="2:11">
      <c r="B27" s="134">
        <f>B23+1</f>
        <v>153</v>
      </c>
      <c r="C27" s="100">
        <f t="array" ref="C27:I27">[1]!srIx2ValAry(D6,B27)</f>
        <v>1.375</v>
      </c>
      <c r="D27" s="108">
        <v>18.59</v>
      </c>
      <c r="E27" s="108">
        <v>3.0949999999999998E-2</v>
      </c>
      <c r="F27" s="108">
        <v>18.620950000000001</v>
      </c>
      <c r="G27" s="101">
        <v>16</v>
      </c>
      <c r="H27" s="101">
        <v>0.53479999999999994</v>
      </c>
      <c r="I27" s="102">
        <v>0.55469999999999997</v>
      </c>
      <c r="J27" s="9"/>
      <c r="K27" s="9"/>
    </row>
    <row r="28" spans="2:11">
      <c r="B28" s="148">
        <f>B23+2</f>
        <v>154</v>
      </c>
      <c r="C28" s="132">
        <f t="array" ref="C28:I28">[1]!srIx2ValAry(D6,B28)</f>
        <v>1.5</v>
      </c>
      <c r="D28" s="117">
        <v>18.510000000000002</v>
      </c>
      <c r="E28" s="117">
        <v>2.8740000000000002E-2</v>
      </c>
      <c r="F28" s="117">
        <v>18.538740000000001</v>
      </c>
      <c r="G28" s="130">
        <v>17.16</v>
      </c>
      <c r="H28" s="130">
        <v>0.56159999999999999</v>
      </c>
      <c r="I28" s="131">
        <v>0.56529999999999991</v>
      </c>
      <c r="J28" s="9"/>
      <c r="K28" s="9"/>
    </row>
    <row r="29" spans="2:11" s="9" customFormat="1" ht="12"/>
    <row r="30" spans="2:11" s="9" customFormat="1">
      <c r="B30" s="146" t="s">
        <v>134</v>
      </c>
      <c r="E30" s="19" t="s">
        <v>135</v>
      </c>
    </row>
    <row r="31" spans="2:11" s="9" customFormat="1" ht="12">
      <c r="B31" s="145" t="s">
        <v>130</v>
      </c>
      <c r="C31" s="144">
        <f>C23-C26</f>
        <v>-5.0000000000000044E-2</v>
      </c>
      <c r="E31" s="19" t="s">
        <v>136</v>
      </c>
    </row>
    <row r="32" spans="2:11" s="9" customFormat="1" ht="12">
      <c r="B32" s="96" t="s">
        <v>131</v>
      </c>
      <c r="C32" s="139">
        <f>C26-C25</f>
        <v>0.125</v>
      </c>
      <c r="D32" s="140">
        <f t="shared" ref="D32:I32" si="0">D26-D25</f>
        <v>0</v>
      </c>
      <c r="E32" s="140">
        <f t="shared" si="0"/>
        <v>-3.1299999999999939E-3</v>
      </c>
      <c r="F32" s="140">
        <f t="shared" si="0"/>
        <v>-3.1299999999987449E-3</v>
      </c>
      <c r="G32" s="141">
        <f t="shared" si="0"/>
        <v>1.1500000000000004</v>
      </c>
      <c r="H32" s="141">
        <f t="shared" si="0"/>
        <v>2.9800000000000049E-2</v>
      </c>
      <c r="I32" s="142">
        <f t="shared" si="0"/>
        <v>1.1599999999999944E-2</v>
      </c>
    </row>
    <row r="33" spans="1:9" s="9" customFormat="1" ht="12">
      <c r="B33" s="91" t="s">
        <v>132</v>
      </c>
      <c r="C33" s="143"/>
      <c r="D33" s="135">
        <f>D32/C32</f>
        <v>0</v>
      </c>
      <c r="E33" s="135">
        <f>E32/C32</f>
        <v>-2.5039999999999951E-2</v>
      </c>
      <c r="F33" s="135">
        <f>F32/C32</f>
        <v>-2.5039999999989959E-2</v>
      </c>
      <c r="G33" s="136">
        <f>G32/C32</f>
        <v>9.2000000000000028</v>
      </c>
      <c r="H33" s="136">
        <f>H32/C32</f>
        <v>0.23840000000000039</v>
      </c>
      <c r="I33" s="137">
        <f>I32/C32</f>
        <v>9.279999999999955E-2</v>
      </c>
    </row>
    <row r="34" spans="1:9" s="9" customFormat="1" ht="12">
      <c r="B34" s="325" t="s">
        <v>133</v>
      </c>
      <c r="C34" s="326"/>
      <c r="D34" s="327">
        <f>D26+D33*C31</f>
        <v>18.63</v>
      </c>
      <c r="E34" s="327">
        <f>E26+E33*C31</f>
        <v>3.4802E-2</v>
      </c>
      <c r="F34" s="327">
        <f>F26+F33*C31</f>
        <v>18.664802000000002</v>
      </c>
      <c r="G34" s="328">
        <f>G26+G33*C31</f>
        <v>14.389999999999999</v>
      </c>
      <c r="H34" s="328">
        <f>H26+H33*C31</f>
        <v>0.49478</v>
      </c>
      <c r="I34" s="329">
        <f>I26+I33*C31</f>
        <v>0.53895999999999999</v>
      </c>
    </row>
    <row r="35" spans="1:9" s="9" customFormat="1">
      <c r="B35" s="146" t="s">
        <v>142</v>
      </c>
    </row>
    <row r="36" spans="1:9" s="9" customFormat="1" ht="12">
      <c r="A36" s="123"/>
      <c r="B36" s="123"/>
      <c r="C36" s="330">
        <f>C23</f>
        <v>1.2</v>
      </c>
      <c r="D36" s="331">
        <f>[1]!srE2LETe(D6,C36,H8)</f>
        <v>18.63</v>
      </c>
      <c r="E36" s="331">
        <f>[1]!srE2LETn(D6,C36,H8)</f>
        <v>3.4802E-2</v>
      </c>
      <c r="F36" s="331">
        <f>[1]!srE2LETt(D6,C36,H8)</f>
        <v>18.664802000000002</v>
      </c>
      <c r="G36" s="332">
        <f>[1]!srE2Rng(D6,C36)</f>
        <v>14.389999999999999</v>
      </c>
      <c r="H36" s="332">
        <f>[1]!srE2StLng(D6,C36)</f>
        <v>0.49478</v>
      </c>
      <c r="I36" s="333">
        <f>[1]!srE2StLtr(D6,C36)</f>
        <v>0.53895999999999999</v>
      </c>
    </row>
    <row r="37" spans="1:9" s="124" customFormat="1" ht="12">
      <c r="D37" s="125" t="s">
        <v>111</v>
      </c>
      <c r="E37" s="125" t="s">
        <v>112</v>
      </c>
      <c r="F37" s="125" t="s">
        <v>113</v>
      </c>
      <c r="G37" s="125" t="s">
        <v>108</v>
      </c>
      <c r="H37" s="125" t="s">
        <v>109</v>
      </c>
      <c r="I37" s="125" t="s">
        <v>110</v>
      </c>
    </row>
    <row r="38" spans="1:9" s="9" customFormat="1">
      <c r="B38" s="146" t="s">
        <v>141</v>
      </c>
    </row>
    <row r="39" spans="1:9" s="9" customFormat="1" ht="12">
      <c r="B39" s="80" t="s">
        <v>360</v>
      </c>
      <c r="C39" s="161">
        <f>[1]!srLETe2E(D6,D39,H8,1)</f>
        <v>1.25</v>
      </c>
      <c r="D39" s="152">
        <f>D36</f>
        <v>18.63</v>
      </c>
      <c r="E39" s="153"/>
      <c r="F39" s="153"/>
      <c r="G39" s="153"/>
      <c r="H39" s="153"/>
      <c r="I39" s="154"/>
    </row>
    <row r="40" spans="1:9" s="9" customFormat="1" ht="12">
      <c r="B40" s="80" t="s">
        <v>361</v>
      </c>
      <c r="C40" s="162">
        <f>[1]!srLETe2E(D6,D40,H8,-1)</f>
        <v>1.25</v>
      </c>
      <c r="D40" s="155">
        <f>D36</f>
        <v>18.63</v>
      </c>
      <c r="E40" s="88"/>
      <c r="F40" s="88"/>
      <c r="G40" s="88"/>
      <c r="H40" s="88"/>
      <c r="I40" s="156"/>
    </row>
    <row r="41" spans="1:9" s="9" customFormat="1" ht="12">
      <c r="B41" s="80" t="s">
        <v>362</v>
      </c>
      <c r="C41" s="162">
        <f>[1]!srLETn2E(D6,E41,H8,1)</f>
        <v>1.2</v>
      </c>
      <c r="D41" s="157" t="s">
        <v>56</v>
      </c>
      <c r="E41" s="155">
        <f>E36</f>
        <v>3.4802E-2</v>
      </c>
      <c r="F41" s="88"/>
      <c r="G41" s="88"/>
      <c r="H41" s="88"/>
      <c r="I41" s="156"/>
    </row>
    <row r="42" spans="1:9" s="9" customFormat="1" ht="12">
      <c r="B42" s="80" t="s">
        <v>363</v>
      </c>
      <c r="C42" s="162" t="e">
        <f>[1]!srLETn2E(D6,E42,H8,-1)</f>
        <v>#N/A</v>
      </c>
      <c r="D42" s="157" t="s">
        <v>56</v>
      </c>
      <c r="E42" s="155">
        <f>E36</f>
        <v>3.4802E-2</v>
      </c>
      <c r="F42" s="88"/>
      <c r="G42" s="88"/>
      <c r="H42" s="88"/>
      <c r="I42" s="156"/>
    </row>
    <row r="43" spans="1:9" s="9" customFormat="1" ht="12">
      <c r="B43" s="80" t="s">
        <v>364</v>
      </c>
      <c r="C43" s="162">
        <f>[1]!srLETt2E(D6,F43,H8,1)</f>
        <v>1.1999999999999433</v>
      </c>
      <c r="D43" s="88"/>
      <c r="E43" s="157" t="s">
        <v>56</v>
      </c>
      <c r="F43" s="155">
        <f>F36</f>
        <v>18.664802000000002</v>
      </c>
      <c r="G43" s="88"/>
      <c r="H43" s="88"/>
      <c r="I43" s="156"/>
    </row>
    <row r="44" spans="1:9" s="9" customFormat="1" ht="12">
      <c r="B44" s="80" t="s">
        <v>365</v>
      </c>
      <c r="C44" s="162">
        <f>[1]!srLETt2E(D6,F44,H8,-1)</f>
        <v>1.1208207228057729</v>
      </c>
      <c r="D44" s="88"/>
      <c r="E44" s="157" t="s">
        <v>56</v>
      </c>
      <c r="F44" s="155">
        <f>F36</f>
        <v>18.664802000000002</v>
      </c>
      <c r="G44" s="88"/>
      <c r="H44" s="88"/>
      <c r="I44" s="156"/>
    </row>
    <row r="45" spans="1:9">
      <c r="B45" s="80" t="s">
        <v>138</v>
      </c>
      <c r="C45" s="162">
        <f>[1]!srRng2E(D6,G45)</f>
        <v>1.2</v>
      </c>
      <c r="D45" s="10"/>
      <c r="E45" s="10"/>
      <c r="F45" s="157" t="s">
        <v>56</v>
      </c>
      <c r="G45" s="150">
        <f>G36</f>
        <v>14.389999999999999</v>
      </c>
      <c r="H45" s="10"/>
      <c r="I45" s="64"/>
    </row>
    <row r="46" spans="1:9">
      <c r="B46" s="80" t="s">
        <v>139</v>
      </c>
      <c r="C46" s="162">
        <f>[1]!srStLng2E(D6,H46)</f>
        <v>1.2</v>
      </c>
      <c r="D46" s="10"/>
      <c r="E46" s="10"/>
      <c r="F46" s="10"/>
      <c r="G46" s="157" t="s">
        <v>56</v>
      </c>
      <c r="H46" s="150">
        <f>H36</f>
        <v>0.49478</v>
      </c>
      <c r="I46" s="64"/>
    </row>
    <row r="47" spans="1:9">
      <c r="B47" s="80" t="s">
        <v>140</v>
      </c>
      <c r="C47" s="163">
        <f>[1]!srStLtr2E(D6,I47)</f>
        <v>1.2</v>
      </c>
      <c r="D47" s="158"/>
      <c r="E47" s="158"/>
      <c r="F47" s="158"/>
      <c r="G47" s="158"/>
      <c r="H47" s="159" t="s">
        <v>56</v>
      </c>
      <c r="I47" s="160">
        <f>I36</f>
        <v>0.53895999999999999</v>
      </c>
    </row>
  </sheetData>
  <phoneticPr fontId="24"/>
  <pageMargins left="0.23622047244094491" right="0.23622047244094491" top="0.39370078740157483" bottom="0.39370078740157483" header="0.31496062992125984" footer="0.31496062992125984"/>
  <pageSetup paperSize="9" scale="78" fitToHeight="0" pageOrder="overThenDown" orientation="landscape" r:id="rId1"/>
  <headerFooter>
    <oddHeader>&amp;L&amp;F&amp;A</oddHeader>
    <oddFooter>&amp;C&amp;P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P52"/>
  <sheetViews>
    <sheetView tabSelected="1" zoomScale="80" zoomScaleNormal="80" workbookViewId="0">
      <selection activeCell="K24" sqref="K24"/>
    </sheetView>
  </sheetViews>
  <sheetFormatPr defaultRowHeight="13.5"/>
  <cols>
    <col min="1" max="1" width="4.125" style="11" customWidth="1"/>
    <col min="2" max="2" width="4.625" style="11" customWidth="1"/>
    <col min="3" max="3" width="14.625" style="11" customWidth="1"/>
    <col min="4" max="4" width="10.625" style="11" customWidth="1"/>
    <col min="5" max="5" width="4.25" style="70" customWidth="1"/>
    <col min="6" max="8" width="10.625" style="11" customWidth="1"/>
    <col min="9" max="24" width="9.625" style="11" customWidth="1"/>
    <col min="25" max="16384" width="9" style="11"/>
  </cols>
  <sheetData>
    <row r="2" spans="1:16" s="32" customFormat="1" ht="18.75">
      <c r="B2" s="33" t="str">
        <f>BkTitle1</f>
        <v>SRIMfit_dbg</v>
      </c>
      <c r="E2" s="70"/>
      <c r="G2" s="60" t="str">
        <f>BkTitle2</f>
        <v>AddInマクロ版 : セル内の式 = srFuncName()</v>
      </c>
    </row>
    <row r="3" spans="1:16" ht="6" customHeight="1"/>
    <row r="4" spans="1:16" ht="14.25">
      <c r="B4" s="34" t="s">
        <v>465</v>
      </c>
      <c r="G4" s="62" t="s">
        <v>37</v>
      </c>
      <c r="H4" s="9" t="s">
        <v>279</v>
      </c>
      <c r="K4" s="87" t="s">
        <v>44</v>
      </c>
    </row>
    <row r="5" spans="1:16">
      <c r="B5" s="9" t="s">
        <v>478</v>
      </c>
      <c r="C5" s="2"/>
      <c r="D5" s="3"/>
      <c r="E5" s="3"/>
      <c r="F5" s="1"/>
      <c r="G5" s="364" t="s">
        <v>284</v>
      </c>
      <c r="H5" s="9" t="s">
        <v>280</v>
      </c>
      <c r="I5" s="9"/>
      <c r="J5" s="1"/>
      <c r="K5" s="62" t="s">
        <v>46</v>
      </c>
    </row>
    <row r="6" spans="1:16">
      <c r="C6" s="769" t="s">
        <v>473</v>
      </c>
      <c r="G6" s="363"/>
      <c r="H6" s="9"/>
      <c r="I6" s="9"/>
      <c r="K6" s="183" t="s">
        <v>54</v>
      </c>
      <c r="L6" s="14"/>
      <c r="M6" s="14"/>
      <c r="N6" s="4"/>
    </row>
    <row r="7" spans="1:16">
      <c r="B7" s="9"/>
      <c r="D7" s="5"/>
      <c r="E7" s="5"/>
      <c r="F7" s="5"/>
      <c r="G7" s="35"/>
      <c r="K7" s="214" t="s">
        <v>57</v>
      </c>
      <c r="L7" s="17"/>
      <c r="M7" s="17"/>
      <c r="N7" s="14"/>
      <c r="O7" s="36"/>
    </row>
    <row r="8" spans="1:16" ht="14.25">
      <c r="B8" s="232"/>
      <c r="C8" s="334" t="s">
        <v>108</v>
      </c>
      <c r="D8" s="9" t="s">
        <v>468</v>
      </c>
      <c r="E8" s="780"/>
      <c r="F8" s="169"/>
      <c r="G8" s="169"/>
      <c r="H8" s="169"/>
      <c r="I8" s="169"/>
      <c r="J8" s="169"/>
      <c r="L8" s="40"/>
      <c r="M8" s="74"/>
      <c r="N8" s="75"/>
      <c r="O8" s="1"/>
      <c r="P8" s="10"/>
    </row>
    <row r="9" spans="1:16">
      <c r="B9" s="9"/>
      <c r="C9" s="170"/>
      <c r="D9" s="169"/>
      <c r="E9" s="207"/>
      <c r="F9" s="9"/>
      <c r="G9" s="169"/>
      <c r="I9" s="2" t="s">
        <v>21</v>
      </c>
      <c r="J9" s="43" t="s">
        <v>18</v>
      </c>
      <c r="K9" s="43" t="s">
        <v>19</v>
      </c>
      <c r="P9" s="10"/>
    </row>
    <row r="10" spans="1:16">
      <c r="B10" s="127"/>
      <c r="C10" s="112"/>
      <c r="D10" s="367" t="str">
        <f>[1]!srElmNm([1]!srInfoIonZ(C13))&amp;"-"</f>
        <v>Ar-</v>
      </c>
      <c r="E10" s="172">
        <f>[1]!srInfoIonA(C13)</f>
        <v>40</v>
      </c>
      <c r="F10" s="764" t="str">
        <f>[1]!srInfoTrgName(C13)</f>
        <v>Si</v>
      </c>
      <c r="H10" s="80" t="s">
        <v>115</v>
      </c>
      <c r="I10" s="18" t="s">
        <v>114</v>
      </c>
      <c r="J10" s="78">
        <f>[1]!srIxEmin(C13)</f>
        <v>20</v>
      </c>
      <c r="K10" s="79">
        <f>[1]!srIxEmax(C13)</f>
        <v>228</v>
      </c>
      <c r="P10" s="10"/>
    </row>
    <row r="11" spans="1:16">
      <c r="B11" s="92"/>
      <c r="C11" s="156"/>
      <c r="D11" s="368" t="s">
        <v>455</v>
      </c>
      <c r="E11" s="488"/>
      <c r="F11" s="767" t="s">
        <v>466</v>
      </c>
      <c r="H11" s="80" t="s">
        <v>116</v>
      </c>
      <c r="I11" s="20" t="s">
        <v>20</v>
      </c>
      <c r="J11" s="46">
        <f>[1]!srMinE(C13)</f>
        <v>9.9999750000000008E-6</v>
      </c>
      <c r="K11" s="47">
        <f>[1]!srMaxE(C13)</f>
        <v>1000</v>
      </c>
      <c r="P11" s="10"/>
    </row>
    <row r="12" spans="1:16" s="9" customFormat="1" ht="12">
      <c r="A12" s="88"/>
      <c r="B12" s="92"/>
      <c r="C12" s="156"/>
      <c r="D12" s="368" t="s">
        <v>0</v>
      </c>
      <c r="E12" s="488"/>
      <c r="F12" s="767" t="s">
        <v>45</v>
      </c>
      <c r="H12" s="80" t="s">
        <v>117</v>
      </c>
      <c r="I12" s="21" t="s">
        <v>22</v>
      </c>
      <c r="J12" s="48">
        <f>[1]!srMinRng(C13)</f>
        <v>2.1000000000000003E-3</v>
      </c>
      <c r="K12" s="49">
        <f>[1]!srMaxRng(C13)</f>
        <v>206820</v>
      </c>
    </row>
    <row r="13" spans="1:16" s="9" customFormat="1">
      <c r="A13" s="88"/>
      <c r="B13" s="173" t="s">
        <v>149</v>
      </c>
      <c r="C13" s="174" t="s">
        <v>48</v>
      </c>
      <c r="D13" s="765">
        <v>2</v>
      </c>
      <c r="E13" s="781" t="s">
        <v>233</v>
      </c>
      <c r="F13" s="768">
        <f>[1]!srE2Rng($C$13,D13)</f>
        <v>21.86</v>
      </c>
      <c r="H13" s="203"/>
      <c r="I13" s="757"/>
      <c r="J13" s="231"/>
    </row>
    <row r="14" spans="1:16">
      <c r="B14" s="80"/>
      <c r="C14" s="6"/>
      <c r="D14" s="46"/>
      <c r="E14" s="782"/>
      <c r="F14" s="46"/>
      <c r="G14" s="40"/>
      <c r="H14" s="36"/>
      <c r="I14" s="724"/>
      <c r="J14" s="724"/>
      <c r="K14" s="599"/>
      <c r="L14" s="10"/>
      <c r="M14" s="720"/>
      <c r="N14" s="749"/>
      <c r="O14" s="749"/>
      <c r="P14" s="10"/>
    </row>
    <row r="15" spans="1:16">
      <c r="D15" s="53" t="s">
        <v>26</v>
      </c>
      <c r="E15" s="533"/>
      <c r="F15" s="735" t="s">
        <v>31</v>
      </c>
      <c r="G15" s="88"/>
      <c r="H15" s="146" t="s">
        <v>471</v>
      </c>
      <c r="I15" s="87"/>
      <c r="J15" s="89"/>
      <c r="K15" s="88"/>
      <c r="L15" s="10"/>
      <c r="M15" s="461"/>
      <c r="N15" s="88"/>
      <c r="O15" s="88"/>
      <c r="P15" s="10"/>
    </row>
    <row r="16" spans="1:16">
      <c r="D16" s="344" t="s">
        <v>25</v>
      </c>
      <c r="E16" s="176" t="s">
        <v>49</v>
      </c>
      <c r="F16" s="606" t="s">
        <v>34</v>
      </c>
      <c r="G16" s="35"/>
      <c r="H16" s="35"/>
      <c r="I16" s="488"/>
      <c r="J16" s="89"/>
      <c r="K16" s="35"/>
      <c r="L16" s="10"/>
      <c r="M16" s="758"/>
      <c r="N16" s="107"/>
      <c r="O16" s="108"/>
      <c r="P16" s="10"/>
    </row>
    <row r="17" spans="1:16">
      <c r="C17" s="146" t="s">
        <v>469</v>
      </c>
      <c r="D17" s="138"/>
      <c r="E17" s="532"/>
      <c r="F17" s="9"/>
      <c r="G17" s="35"/>
      <c r="H17" s="487"/>
      <c r="I17" s="488"/>
      <c r="J17" s="35"/>
      <c r="K17" s="35"/>
      <c r="L17" s="10"/>
      <c r="M17" s="88"/>
      <c r="N17" s="107"/>
      <c r="O17" s="108"/>
      <c r="P17" s="10"/>
    </row>
    <row r="18" spans="1:16">
      <c r="B18" s="80" t="s">
        <v>454</v>
      </c>
      <c r="C18" s="126">
        <f>[1]!srE2Ix($C$13,D18)</f>
        <v>157</v>
      </c>
      <c r="D18" s="728">
        <f>D13</f>
        <v>2</v>
      </c>
      <c r="E18" s="783"/>
      <c r="F18" s="732"/>
      <c r="G18" s="724"/>
      <c r="H18" s="750"/>
      <c r="I18" s="751"/>
      <c r="J18" s="747"/>
      <c r="K18" s="748"/>
      <c r="L18" s="10"/>
      <c r="M18" s="461"/>
      <c r="N18" s="88"/>
      <c r="O18" s="88"/>
      <c r="P18" s="10"/>
    </row>
    <row r="19" spans="1:16">
      <c r="C19" s="147">
        <f>C18-2</f>
        <v>155</v>
      </c>
      <c r="D19" s="759">
        <f>[1]!srIx2Val($C$13,C19,1)</f>
        <v>1.625</v>
      </c>
      <c r="E19" s="529"/>
      <c r="F19" s="736">
        <f>[1]!srIx2Val($C$13,C19,5)</f>
        <v>18.329999999999998</v>
      </c>
      <c r="G19" s="348"/>
      <c r="H19" s="752"/>
      <c r="I19" s="719"/>
      <c r="J19" s="348"/>
      <c r="K19" s="348"/>
      <c r="L19" s="10"/>
      <c r="M19" s="88"/>
      <c r="N19" s="734"/>
      <c r="O19" s="108"/>
      <c r="P19" s="10"/>
    </row>
    <row r="20" spans="1:16">
      <c r="C20" s="133">
        <f>C18-1</f>
        <v>156</v>
      </c>
      <c r="D20" s="760">
        <f>[1]!srIx2Val($C$13,C20,1)</f>
        <v>1.75</v>
      </c>
      <c r="E20" s="466"/>
      <c r="F20" s="737">
        <f>[1]!srIx2Val($C$13,C20,5)</f>
        <v>19.5</v>
      </c>
      <c r="G20" s="348"/>
      <c r="H20" s="753"/>
      <c r="I20" s="719"/>
      <c r="J20" s="348"/>
      <c r="K20" s="348"/>
      <c r="L20" s="10"/>
      <c r="M20" s="758"/>
      <c r="N20" s="734"/>
      <c r="O20" s="108"/>
      <c r="P20" s="10"/>
    </row>
    <row r="21" spans="1:16">
      <c r="B21" s="733" t="s">
        <v>467</v>
      </c>
      <c r="C21" s="790">
        <f>C18</f>
        <v>157</v>
      </c>
      <c r="D21" s="791">
        <f>[1]!srIx2Val($C$13,C21,1)</f>
        <v>2</v>
      </c>
      <c r="E21" s="792" t="s">
        <v>233</v>
      </c>
      <c r="F21" s="793">
        <f>[1]!srIx2Val($C$13,C21,5)</f>
        <v>21.86</v>
      </c>
      <c r="G21" s="348"/>
      <c r="H21" s="754"/>
      <c r="I21" s="719"/>
      <c r="J21" s="348"/>
      <c r="K21" s="348"/>
    </row>
    <row r="22" spans="1:16" s="9" customFormat="1">
      <c r="B22" s="11"/>
      <c r="C22" s="134">
        <f>C18+1</f>
        <v>158</v>
      </c>
      <c r="D22" s="760">
        <f>[1]!srIx2Val($C$13,C22,1)</f>
        <v>2.25</v>
      </c>
      <c r="E22" s="466"/>
      <c r="F22" s="737">
        <f>[1]!srIx2Val($C$13,C22,5)</f>
        <v>24.27</v>
      </c>
      <c r="G22" s="348"/>
      <c r="H22" s="755"/>
      <c r="I22" s="719"/>
      <c r="J22" s="348"/>
      <c r="K22" s="348"/>
    </row>
    <row r="23" spans="1:16" s="9" customFormat="1" ht="12">
      <c r="C23" s="148">
        <f>C18+2</f>
        <v>159</v>
      </c>
      <c r="D23" s="761">
        <f>[1]!srIx2Val($C$13,C23,1)</f>
        <v>2.5</v>
      </c>
      <c r="E23" s="477"/>
      <c r="F23" s="738">
        <f>[1]!srIx2Val($C$13,C23,5)</f>
        <v>26.74</v>
      </c>
      <c r="G23" s="35"/>
      <c r="H23" s="756"/>
      <c r="I23" s="719"/>
      <c r="J23" s="348"/>
      <c r="K23" s="35"/>
    </row>
    <row r="24" spans="1:16" s="9" customFormat="1" ht="12">
      <c r="E24" s="217"/>
      <c r="G24" s="35"/>
      <c r="H24" s="35"/>
      <c r="I24" s="35"/>
      <c r="J24" s="35"/>
      <c r="K24" s="35"/>
    </row>
    <row r="25" spans="1:16" s="9" customFormat="1">
      <c r="C25" s="146" t="s">
        <v>470</v>
      </c>
      <c r="E25" s="217"/>
      <c r="G25" s="35"/>
      <c r="H25" s="487"/>
      <c r="I25" s="35"/>
      <c r="J25" s="35"/>
      <c r="K25" s="35"/>
    </row>
    <row r="26" spans="1:16" s="9" customFormat="1" ht="12">
      <c r="C26" s="145" t="s">
        <v>130</v>
      </c>
      <c r="D26" s="144">
        <f>D18-D21</f>
        <v>0</v>
      </c>
      <c r="E26" s="466"/>
      <c r="G26" s="530"/>
      <c r="H26" s="71"/>
      <c r="I26" s="555"/>
      <c r="J26" s="35"/>
      <c r="K26" s="530"/>
    </row>
    <row r="27" spans="1:16" s="9" customFormat="1" ht="12">
      <c r="C27" s="96" t="s">
        <v>131</v>
      </c>
      <c r="D27" s="762">
        <f>D21-D20</f>
        <v>0.25</v>
      </c>
      <c r="E27" s="529"/>
      <c r="F27" s="739">
        <f>F21-F20</f>
        <v>2.3599999999999994</v>
      </c>
      <c r="G27" s="530"/>
      <c r="H27" s="71"/>
      <c r="I27" s="466"/>
      <c r="J27" s="530"/>
      <c r="K27" s="530"/>
    </row>
    <row r="28" spans="1:16" s="9" customFormat="1" ht="12">
      <c r="C28" s="91" t="s">
        <v>132</v>
      </c>
      <c r="D28" s="763"/>
      <c r="E28" s="466"/>
      <c r="F28" s="740">
        <f>F27/D27</f>
        <v>9.4399999999999977</v>
      </c>
      <c r="G28" s="726"/>
      <c r="H28" s="488"/>
      <c r="I28" s="466"/>
      <c r="J28" s="530"/>
      <c r="K28" s="726"/>
    </row>
    <row r="29" spans="1:16" s="9" customFormat="1" ht="12">
      <c r="A29" s="123"/>
      <c r="C29" s="731" t="s">
        <v>133</v>
      </c>
      <c r="D29" s="478"/>
      <c r="E29" s="477"/>
      <c r="F29" s="794">
        <f>F21+F28*D26</f>
        <v>21.86</v>
      </c>
      <c r="G29" s="748"/>
      <c r="H29" s="488"/>
      <c r="I29" s="466"/>
      <c r="J29" s="726"/>
      <c r="K29" s="748"/>
    </row>
    <row r="30" spans="1:16" s="124" customFormat="1">
      <c r="B30" s="9"/>
      <c r="C30" s="487"/>
      <c r="D30" s="35"/>
      <c r="E30" s="35"/>
      <c r="F30" s="35"/>
      <c r="G30" s="744"/>
      <c r="H30" s="725"/>
      <c r="I30" s="725"/>
      <c r="J30" s="725"/>
      <c r="K30" s="35"/>
    </row>
    <row r="31" spans="1:16" s="9" customFormat="1" ht="14.25">
      <c r="A31" s="88"/>
      <c r="B31" s="232"/>
      <c r="C31" s="334" t="s">
        <v>138</v>
      </c>
      <c r="D31" s="9" t="s">
        <v>479</v>
      </c>
      <c r="E31" s="35"/>
      <c r="F31" s="169"/>
      <c r="G31" s="169"/>
      <c r="H31" s="35"/>
      <c r="I31" s="35"/>
      <c r="J31" s="35"/>
      <c r="K31" s="35"/>
    </row>
    <row r="32" spans="1:16" s="9" customFormat="1" ht="12">
      <c r="A32" s="88"/>
      <c r="C32" s="170"/>
      <c r="D32" s="169"/>
      <c r="E32" s="207"/>
      <c r="G32" s="169"/>
      <c r="H32" s="721"/>
      <c r="I32" s="721"/>
      <c r="J32" s="721"/>
    </row>
    <row r="33" spans="1:10" s="9" customFormat="1" ht="12">
      <c r="A33" s="88"/>
      <c r="B33" s="776"/>
      <c r="C33" s="777"/>
      <c r="D33" s="778" t="s">
        <v>455</v>
      </c>
      <c r="E33" s="533"/>
      <c r="F33" s="779" t="s">
        <v>466</v>
      </c>
      <c r="I33" s="88"/>
      <c r="J33" s="88"/>
    </row>
    <row r="34" spans="1:10" s="9" customFormat="1" ht="12">
      <c r="A34" s="88"/>
      <c r="B34" s="444"/>
      <c r="C34" s="770"/>
      <c r="D34" s="774" t="s">
        <v>0</v>
      </c>
      <c r="E34" s="488"/>
      <c r="F34" s="771" t="s">
        <v>45</v>
      </c>
      <c r="H34" s="88"/>
      <c r="I34" s="88"/>
      <c r="J34" s="88"/>
    </row>
    <row r="35" spans="1:10" s="9" customFormat="1" ht="12">
      <c r="A35" s="88"/>
      <c r="B35" s="772" t="s">
        <v>149</v>
      </c>
      <c r="C35" s="773" t="str">
        <f>C13</f>
        <v>srim40Ar_Si</v>
      </c>
      <c r="D35" s="775">
        <f>[1]!srRng2E(C35,F35)</f>
        <v>0.25080645161290321</v>
      </c>
      <c r="E35" s="784" t="s">
        <v>56</v>
      </c>
      <c r="F35" s="766">
        <v>5</v>
      </c>
      <c r="H35" s="88"/>
      <c r="I35" s="88"/>
      <c r="J35" s="88"/>
    </row>
    <row r="36" spans="1:10">
      <c r="A36" s="10"/>
      <c r="B36" s="599"/>
      <c r="C36" s="107"/>
      <c r="D36" s="10"/>
      <c r="E36" s="785"/>
      <c r="F36" s="10"/>
      <c r="G36" s="157"/>
      <c r="H36" s="146" t="s">
        <v>471</v>
      </c>
      <c r="I36" s="10"/>
      <c r="J36" s="10"/>
    </row>
    <row r="37" spans="1:10">
      <c r="A37" s="10"/>
      <c r="C37" s="146" t="s">
        <v>474</v>
      </c>
      <c r="D37" s="138"/>
      <c r="E37" s="532"/>
      <c r="F37" s="9"/>
      <c r="G37" s="10"/>
      <c r="H37" s="157"/>
      <c r="I37" s="150"/>
      <c r="J37" s="10"/>
    </row>
    <row r="38" spans="1:10">
      <c r="A38" s="10"/>
      <c r="C38" s="787" t="s">
        <v>461</v>
      </c>
      <c r="D38" s="138"/>
      <c r="E38" s="532"/>
      <c r="F38" s="9"/>
      <c r="G38" s="10"/>
      <c r="H38" s="157"/>
      <c r="I38" s="150"/>
      <c r="J38" s="10"/>
    </row>
    <row r="39" spans="1:10">
      <c r="A39" s="10"/>
      <c r="C39" s="126">
        <f>[1]!srVal2Ix(C35,F39,5,-1)</f>
        <v>134</v>
      </c>
      <c r="D39" s="747"/>
      <c r="E39" s="788" t="s">
        <v>56</v>
      </c>
      <c r="F39" s="796">
        <f>F35</f>
        <v>5</v>
      </c>
      <c r="G39" s="10"/>
      <c r="H39" s="10"/>
      <c r="I39" s="157"/>
      <c r="J39" s="150"/>
    </row>
    <row r="40" spans="1:10">
      <c r="C40" s="147">
        <f>C39-2</f>
        <v>132</v>
      </c>
      <c r="D40" s="759">
        <f>[1]!srIx2Val($C$13,C40,1)</f>
        <v>0.22500000000000001</v>
      </c>
      <c r="E40" s="529"/>
      <c r="F40" s="736">
        <f>[1]!srIx2Val($C$13,C40,5)</f>
        <v>4.67</v>
      </c>
    </row>
    <row r="41" spans="1:10">
      <c r="C41" s="133">
        <f>C39-1</f>
        <v>133</v>
      </c>
      <c r="D41" s="760">
        <f>[1]!srIx2Val($C$13,C41,1)</f>
        <v>0.25</v>
      </c>
      <c r="E41" s="466"/>
      <c r="F41" s="737">
        <f>[1]!srIx2Val($C$13,C41,5)</f>
        <v>4.99</v>
      </c>
    </row>
    <row r="42" spans="1:10">
      <c r="B42" s="733" t="s">
        <v>467</v>
      </c>
      <c r="C42" s="790">
        <f>C39</f>
        <v>134</v>
      </c>
      <c r="D42" s="791">
        <f>[1]!srIx2Val($C$13,C42,1)</f>
        <v>0.27500000000000002</v>
      </c>
      <c r="E42" s="792" t="s">
        <v>477</v>
      </c>
      <c r="F42" s="793">
        <f>[1]!srIx2Val($C$13,C42,5)</f>
        <v>5.3</v>
      </c>
    </row>
    <row r="43" spans="1:10">
      <c r="C43" s="134">
        <f>C39+1</f>
        <v>135</v>
      </c>
      <c r="D43" s="760">
        <f>[1]!srIx2Val($C$13,C43,1)</f>
        <v>0.3</v>
      </c>
      <c r="E43" s="466"/>
      <c r="F43" s="737">
        <f>[1]!srIx2Val($C$13,C43,5)</f>
        <v>5.6</v>
      </c>
    </row>
    <row r="44" spans="1:10">
      <c r="B44" s="9"/>
      <c r="C44" s="148">
        <f>C39+2</f>
        <v>136</v>
      </c>
      <c r="D44" s="761">
        <f>[1]!srIx2Val($C$13,C44,1)</f>
        <v>0.32500000000000001</v>
      </c>
      <c r="E44" s="477"/>
      <c r="F44" s="738">
        <f>[1]!srIx2Val($C$13,C44,5)</f>
        <v>5.89</v>
      </c>
    </row>
    <row r="45" spans="1:10">
      <c r="B45" s="9"/>
      <c r="C45" s="9"/>
      <c r="D45" s="9"/>
      <c r="E45" s="217"/>
      <c r="F45" s="9"/>
    </row>
    <row r="46" spans="1:10">
      <c r="B46" s="9"/>
      <c r="C46" s="146" t="s">
        <v>476</v>
      </c>
      <c r="D46" s="9"/>
      <c r="E46" s="217"/>
      <c r="F46" s="9"/>
    </row>
    <row r="47" spans="1:10">
      <c r="B47" s="9"/>
      <c r="C47" s="96" t="s">
        <v>475</v>
      </c>
      <c r="D47" s="143"/>
      <c r="E47" s="466"/>
      <c r="F47" s="346">
        <f>F39-F42</f>
        <v>-0.29999999999999982</v>
      </c>
    </row>
    <row r="48" spans="1:10">
      <c r="B48" s="9"/>
      <c r="C48" s="96" t="s">
        <v>131</v>
      </c>
      <c r="D48" s="139">
        <f>D42-D41</f>
        <v>2.5000000000000022E-2</v>
      </c>
      <c r="E48" s="529"/>
      <c r="F48" s="739">
        <f>F42-F41</f>
        <v>0.30999999999999961</v>
      </c>
    </row>
    <row r="49" spans="2:6">
      <c r="B49" s="9"/>
      <c r="C49" s="91" t="s">
        <v>132</v>
      </c>
      <c r="D49" s="143">
        <f>D48/F48</f>
        <v>8.0645161290322759E-2</v>
      </c>
      <c r="E49" s="466"/>
      <c r="F49" s="740"/>
    </row>
    <row r="50" spans="2:6">
      <c r="B50" s="9"/>
      <c r="C50" s="731" t="s">
        <v>133</v>
      </c>
      <c r="D50" s="795">
        <f>D42+D49*F47</f>
        <v>0.25080645161290321</v>
      </c>
      <c r="E50" s="477"/>
      <c r="F50" s="789"/>
    </row>
    <row r="51" spans="2:6">
      <c r="D51" s="10"/>
      <c r="E51" s="785"/>
      <c r="F51" s="10"/>
    </row>
    <row r="52" spans="2:6">
      <c r="E52" s="786"/>
    </row>
  </sheetData>
  <phoneticPr fontId="24"/>
  <pageMargins left="0.23622047244094491" right="0.23622047244094491" top="0.74803149606299213" bottom="0.74803149606299213" header="0.31496062992125984" footer="0.31496062992125984"/>
  <pageSetup paperSize="9" scale="90" fitToHeight="0" pageOrder="overThenDown" orientation="portrait" r:id="rId1"/>
  <headerFooter>
    <oddHeader>&amp;L&amp;F&amp;A</oddHeader>
    <oddFooter>&amp;C&amp;P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T971"/>
  <sheetViews>
    <sheetView zoomScale="80" zoomScaleNormal="80" workbookViewId="0">
      <selection activeCell="R32" sqref="R32"/>
    </sheetView>
  </sheetViews>
  <sheetFormatPr defaultRowHeight="13.5"/>
  <cols>
    <col min="1" max="1" width="2.375" style="11" customWidth="1"/>
    <col min="2" max="2" width="4.625" style="11" customWidth="1"/>
    <col min="3" max="3" width="15.125" style="11" customWidth="1"/>
    <col min="4" max="5" width="9.625" style="11" customWidth="1"/>
    <col min="6" max="6" width="4.25" style="11" customWidth="1"/>
    <col min="7" max="9" width="9.625" style="11" customWidth="1"/>
    <col min="10" max="10" width="4.125" style="11" customWidth="1"/>
    <col min="11" max="11" width="4.625" style="11" customWidth="1"/>
    <col min="12" max="15" width="8.625" style="11" customWidth="1"/>
    <col min="16" max="19" width="7.625" style="11" customWidth="1"/>
    <col min="20" max="20" width="2.375" style="11" customWidth="1"/>
    <col min="21" max="16384" width="9" style="11"/>
  </cols>
  <sheetData>
    <row r="1" spans="2:20" ht="9" customHeight="1"/>
    <row r="2" spans="2:20" s="32" customFormat="1" ht="18.75">
      <c r="B2" s="33" t="str">
        <f>BkTitle1</f>
        <v>SRIMfit_dbg</v>
      </c>
      <c r="E2" s="61" t="str">
        <f>BkTitle2</f>
        <v>AddInマクロ版 : セル内の式 = srFuncName()</v>
      </c>
      <c r="F2" s="61"/>
    </row>
    <row r="3" spans="2:20" ht="9" customHeight="1">
      <c r="J3" s="9"/>
      <c r="O3" s="573"/>
      <c r="P3" s="573"/>
      <c r="Q3" s="573"/>
      <c r="R3" s="573"/>
    </row>
    <row r="4" spans="2:20" ht="14.25">
      <c r="B4" s="34" t="s">
        <v>464</v>
      </c>
      <c r="G4" s="62" t="s">
        <v>37</v>
      </c>
      <c r="H4" s="9" t="s">
        <v>279</v>
      </c>
      <c r="J4" s="9"/>
      <c r="L4" s="689"/>
      <c r="O4" s="575"/>
      <c r="P4" s="674"/>
      <c r="Q4" s="674"/>
      <c r="R4" s="674"/>
      <c r="S4" s="674"/>
    </row>
    <row r="5" spans="2:20">
      <c r="B5" s="9" t="s">
        <v>431</v>
      </c>
      <c r="C5" s="9"/>
      <c r="D5" s="9"/>
      <c r="E5" s="9"/>
      <c r="F5" s="9"/>
      <c r="G5" s="364" t="s">
        <v>94</v>
      </c>
      <c r="H5" s="9" t="s">
        <v>280</v>
      </c>
      <c r="I5" s="9"/>
      <c r="J5" s="9"/>
      <c r="P5" s="10"/>
      <c r="Q5" s="10"/>
      <c r="R5" s="10"/>
      <c r="S5" s="674"/>
      <c r="T5" s="36"/>
    </row>
    <row r="6" spans="2:20">
      <c r="C6" s="9" t="s">
        <v>462</v>
      </c>
      <c r="D6" s="9"/>
      <c r="E6" s="9"/>
      <c r="F6" s="9"/>
      <c r="G6" s="363"/>
      <c r="H6" s="9"/>
      <c r="I6" s="9"/>
      <c r="J6" s="35"/>
      <c r="K6" s="36"/>
      <c r="L6" s="682" t="s">
        <v>264</v>
      </c>
      <c r="M6" s="683" t="str">
        <f>C10</f>
        <v>srim197Au_Au</v>
      </c>
      <c r="N6" s="36"/>
      <c r="O6" s="36"/>
      <c r="P6" s="36"/>
      <c r="Q6" s="36"/>
      <c r="R6" s="676"/>
      <c r="S6" s="566"/>
      <c r="T6" s="353"/>
    </row>
    <row r="7" spans="2:20">
      <c r="B7" s="9"/>
      <c r="C7" s="9"/>
      <c r="D7" s="9"/>
      <c r="E7" s="9"/>
      <c r="F7" s="9"/>
      <c r="G7" s="594"/>
      <c r="H7" s="217"/>
      <c r="I7" s="217"/>
      <c r="J7" s="35"/>
      <c r="K7" s="678" t="s">
        <v>442</v>
      </c>
      <c r="L7" s="677" t="s">
        <v>444</v>
      </c>
      <c r="M7" s="533" t="s">
        <v>386</v>
      </c>
      <c r="N7" s="533" t="s">
        <v>385</v>
      </c>
      <c r="O7" s="501" t="s">
        <v>433</v>
      </c>
      <c r="P7" s="488"/>
      <c r="Q7" s="488"/>
      <c r="R7" s="488"/>
      <c r="S7" s="488"/>
      <c r="T7" s="353"/>
    </row>
    <row r="8" spans="2:20" ht="14.25">
      <c r="B8" s="185"/>
      <c r="C8" s="334" t="s">
        <v>432</v>
      </c>
      <c r="D8" s="769" t="s">
        <v>472</v>
      </c>
      <c r="E8" s="207"/>
      <c r="F8" s="207"/>
      <c r="G8" s="207"/>
      <c r="H8" s="9"/>
      <c r="I8" s="9"/>
      <c r="J8" s="35"/>
      <c r="K8" s="690"/>
      <c r="L8" s="542" t="s">
        <v>25</v>
      </c>
      <c r="M8" s="543"/>
      <c r="N8" s="543" t="s">
        <v>434</v>
      </c>
      <c r="O8" s="557"/>
      <c r="P8" s="488"/>
      <c r="Q8" s="488"/>
      <c r="R8" s="488"/>
      <c r="S8" s="488"/>
      <c r="T8" s="35"/>
    </row>
    <row r="9" spans="2:20">
      <c r="B9" s="88"/>
      <c r="C9" s="37"/>
      <c r="D9" s="169"/>
      <c r="E9" s="35"/>
      <c r="F9" s="35"/>
      <c r="G9" s="489"/>
      <c r="H9" s="35"/>
      <c r="I9" s="35"/>
      <c r="J9" s="565" t="s">
        <v>331</v>
      </c>
      <c r="K9" s="691">
        <f>[1]!srIxEmin(M$6)</f>
        <v>20</v>
      </c>
      <c r="N9" s="488"/>
      <c r="O9" s="488"/>
      <c r="P9" s="37"/>
      <c r="Q9" s="37"/>
      <c r="R9" s="488"/>
      <c r="S9" s="488"/>
      <c r="T9" s="35"/>
    </row>
    <row r="10" spans="2:20">
      <c r="B10" s="267" t="s">
        <v>149</v>
      </c>
      <c r="C10" s="723" t="s">
        <v>450</v>
      </c>
      <c r="D10" s="669"/>
      <c r="E10" s="71"/>
      <c r="F10" s="71"/>
      <c r="G10" s="553"/>
      <c r="H10" s="693" t="s">
        <v>443</v>
      </c>
      <c r="I10" s="693"/>
      <c r="J10" s="71" t="s">
        <v>330</v>
      </c>
      <c r="K10" s="691">
        <f>[1]!srIxEmax(M6)</f>
        <v>228</v>
      </c>
      <c r="N10" s="684"/>
      <c r="O10" s="679"/>
      <c r="P10" s="680"/>
      <c r="Q10" s="675"/>
      <c r="R10" s="681"/>
      <c r="S10" s="675"/>
      <c r="T10" s="35"/>
    </row>
    <row r="11" spans="2:20">
      <c r="B11" s="366"/>
      <c r="C11" s="670"/>
      <c r="D11" s="685"/>
      <c r="E11" s="71"/>
      <c r="F11" s="71"/>
      <c r="G11" s="489"/>
      <c r="H11" s="716" t="s">
        <v>444</v>
      </c>
      <c r="I11" s="717" t="s">
        <v>445</v>
      </c>
      <c r="J11" s="35"/>
      <c r="K11" s="71">
        <f>K9</f>
        <v>20</v>
      </c>
      <c r="L11" s="718">
        <f>[1]!srIx2Val(M$6,K11,1)</f>
        <v>1.0152284263959391E-5</v>
      </c>
      <c r="M11" s="348">
        <f>[1]!srIx2Val(M$6,K11,2)</f>
        <v>4.088E-2</v>
      </c>
      <c r="N11" s="348">
        <f>[1]!srIx2Val(M$6,K11,3)</f>
        <v>0.80159999999999998</v>
      </c>
      <c r="O11" s="348">
        <f>[1]!srIx2Val(M$6,K11,4)</f>
        <v>0.84248000000000001</v>
      </c>
      <c r="P11" s="482"/>
      <c r="Q11" s="466"/>
      <c r="R11" s="466"/>
      <c r="S11" s="466"/>
      <c r="T11" s="35"/>
    </row>
    <row r="12" spans="2:20" s="9" customFormat="1">
      <c r="B12" s="88"/>
      <c r="C12" s="714" t="s">
        <v>435</v>
      </c>
      <c r="D12" s="715">
        <v>2</v>
      </c>
      <c r="E12" s="673" t="s">
        <v>436</v>
      </c>
      <c r="F12" s="673"/>
      <c r="G12" s="692" t="s">
        <v>449</v>
      </c>
      <c r="H12" s="698">
        <f>[1]!srIx2Val(M$6,K9,1)</f>
        <v>1.0152284263959391E-5</v>
      </c>
      <c r="I12" s="699">
        <f>D12</f>
        <v>2</v>
      </c>
      <c r="J12" s="35"/>
      <c r="K12" s="35">
        <f>K11+1</f>
        <v>21</v>
      </c>
      <c r="L12" s="718">
        <f>[1]!srIx2Val(M$6,K12,1)</f>
        <v>1.1421319796954314E-5</v>
      </c>
      <c r="M12" s="348">
        <f>[1]!srIx2Val(M$6,K12,2)</f>
        <v>4.3360000000000003E-2</v>
      </c>
      <c r="N12" s="348">
        <f>[1]!srIx2Val(M$6,K12,3)</f>
        <v>0.8538</v>
      </c>
      <c r="O12" s="348">
        <f>[1]!srIx2Val(M$6,K12,4)</f>
        <v>0.89715999999999996</v>
      </c>
      <c r="P12" s="482"/>
      <c r="Q12" s="466"/>
      <c r="R12" s="466"/>
      <c r="S12" s="466"/>
      <c r="T12" s="35"/>
    </row>
    <row r="13" spans="2:20" s="9" customFormat="1">
      <c r="B13" s="88"/>
      <c r="C13" s="488"/>
      <c r="D13" s="207"/>
      <c r="E13" s="489"/>
      <c r="F13" s="489"/>
      <c r="G13" s="11"/>
      <c r="H13" s="700">
        <f>[1]!srIx2Val(M$6,K10,1)</f>
        <v>1000</v>
      </c>
      <c r="I13" s="701">
        <f>D12</f>
        <v>2</v>
      </c>
      <c r="K13" s="35">
        <f t="shared" ref="K13:K76" si="0">K12+1</f>
        <v>22</v>
      </c>
      <c r="L13" s="718">
        <f>[1]!srIx2Val(M$6,K13,1)</f>
        <v>1.2690355329949238E-5</v>
      </c>
      <c r="M13" s="348">
        <f>[1]!srIx2Val(M$6,K13,2)</f>
        <v>4.5699999999999998E-2</v>
      </c>
      <c r="N13" s="348">
        <f>[1]!srIx2Val(M$6,K13,3)</f>
        <v>0.90290000000000004</v>
      </c>
      <c r="O13" s="348">
        <f>[1]!srIx2Val(M$6,K13,4)</f>
        <v>0.9486</v>
      </c>
      <c r="P13" s="482"/>
      <c r="Q13" s="466"/>
      <c r="R13" s="466"/>
      <c r="S13" s="466"/>
      <c r="T13" s="35"/>
    </row>
    <row r="14" spans="2:20">
      <c r="B14" s="88"/>
      <c r="C14" s="711"/>
      <c r="D14" s="709" t="s">
        <v>437</v>
      </c>
      <c r="E14" s="710" t="s">
        <v>438</v>
      </c>
      <c r="F14" s="688"/>
      <c r="G14" s="692" t="s">
        <v>446</v>
      </c>
      <c r="H14" s="702">
        <f>D15</f>
        <v>2.8779144799105223E-2</v>
      </c>
      <c r="I14" s="699">
        <f>D12</f>
        <v>2</v>
      </c>
      <c r="J14" s="9"/>
      <c r="K14" s="35">
        <f t="shared" si="0"/>
        <v>23</v>
      </c>
      <c r="L14" s="718">
        <f>[1]!srIx2Val(M$6,K14,1)</f>
        <v>1.3959390862944161E-5</v>
      </c>
      <c r="M14" s="348">
        <f>[1]!srIx2Val(M$6,K14,2)</f>
        <v>4.793E-2</v>
      </c>
      <c r="N14" s="348">
        <f>[1]!srIx2Val(M$6,K14,3)</f>
        <v>0.94920000000000004</v>
      </c>
      <c r="O14" s="348">
        <f>[1]!srIx2Val(M$6,K14,4)</f>
        <v>0.99713000000000007</v>
      </c>
      <c r="P14" s="482"/>
      <c r="Q14" s="466"/>
      <c r="R14" s="466"/>
      <c r="S14" s="466"/>
      <c r="T14" s="35"/>
    </row>
    <row r="15" spans="2:20">
      <c r="C15" s="712" t="s">
        <v>439</v>
      </c>
      <c r="D15" s="686">
        <f>[1]!srLETe2E(C10,D12,0,-1)</f>
        <v>2.8779144799105223E-2</v>
      </c>
      <c r="E15" s="706" t="e">
        <f>[1]!srLETe2E(C10,D12,0,1)</f>
        <v>#N/A</v>
      </c>
      <c r="F15" s="687"/>
      <c r="H15" s="696" t="e">
        <f>E15</f>
        <v>#N/A</v>
      </c>
      <c r="I15" s="701">
        <f>D12</f>
        <v>2</v>
      </c>
      <c r="J15" s="9"/>
      <c r="K15" s="35">
        <f t="shared" si="0"/>
        <v>24</v>
      </c>
      <c r="L15" s="718">
        <f>[1]!srIx2Val(M$6,K15,1)</f>
        <v>1.5228426395939086E-5</v>
      </c>
      <c r="M15" s="348">
        <f>[1]!srIx2Val(M$6,K15,2)</f>
        <v>5.006E-2</v>
      </c>
      <c r="N15" s="348">
        <f>[1]!srIx2Val(M$6,K15,3)</f>
        <v>0.99319999999999997</v>
      </c>
      <c r="O15" s="348">
        <f>[1]!srIx2Val(M$6,K15,4)</f>
        <v>1.0432600000000001</v>
      </c>
      <c r="P15" s="482"/>
      <c r="Q15" s="466"/>
      <c r="R15" s="466"/>
      <c r="S15" s="466"/>
      <c r="T15" s="35"/>
    </row>
    <row r="16" spans="2:20">
      <c r="B16" s="671"/>
      <c r="C16" s="712" t="s">
        <v>440</v>
      </c>
      <c r="D16" s="686">
        <f>[1]!srLETn2E(C10,D12,0,-1)</f>
        <v>6.6473289823543622E-5</v>
      </c>
      <c r="E16" s="706">
        <f>[1]!srLETn2E(C10,D12,0,1)</f>
        <v>8.498912255257432E-2</v>
      </c>
      <c r="F16" s="687"/>
      <c r="G16" s="692" t="s">
        <v>447</v>
      </c>
      <c r="H16" s="702">
        <f>D16</f>
        <v>6.6473289823543622E-5</v>
      </c>
      <c r="I16" s="699">
        <f>D12</f>
        <v>2</v>
      </c>
      <c r="J16" s="9"/>
      <c r="K16" s="35">
        <f t="shared" si="0"/>
        <v>25</v>
      </c>
      <c r="L16" s="718">
        <f>[1]!srIx2Val(M$6,K16,1)</f>
        <v>1.6497461928934009E-5</v>
      </c>
      <c r="M16" s="348">
        <f>[1]!srIx2Val(M$6,K16,2)</f>
        <v>5.2109999999999997E-2</v>
      </c>
      <c r="N16" s="348">
        <f>[1]!srIx2Val(M$6,K16,3)</f>
        <v>1.0349999999999999</v>
      </c>
      <c r="O16" s="348">
        <f>[1]!srIx2Val(M$6,K16,4)</f>
        <v>1.08711</v>
      </c>
      <c r="P16" s="482"/>
      <c r="Q16" s="466"/>
      <c r="R16" s="466"/>
      <c r="S16" s="466"/>
      <c r="T16" s="36"/>
    </row>
    <row r="17" spans="2:20">
      <c r="B17" s="672"/>
      <c r="C17" s="713" t="s">
        <v>441</v>
      </c>
      <c r="D17" s="707">
        <f>[1]!srLETt2E(C10,D12,0,-1)</f>
        <v>5.9175939192824147E-5</v>
      </c>
      <c r="E17" s="708" t="e">
        <f>[1]!srLETt2E(C10,D12,0,1)</f>
        <v>#N/A</v>
      </c>
      <c r="F17" s="687"/>
      <c r="G17" s="70"/>
      <c r="H17" s="703">
        <f>E16</f>
        <v>8.498912255257432E-2</v>
      </c>
      <c r="I17" s="701">
        <f>D12</f>
        <v>2</v>
      </c>
      <c r="K17" s="35">
        <f t="shared" si="0"/>
        <v>26</v>
      </c>
      <c r="L17" s="718">
        <f>[1]!srIx2Val(M$6,K17,1)</f>
        <v>1.7766497461928935E-5</v>
      </c>
      <c r="M17" s="348">
        <f>[1]!srIx2Val(M$6,K17,2)</f>
        <v>5.407E-2</v>
      </c>
      <c r="N17" s="348">
        <f>[1]!srIx2Val(M$6,K17,3)</f>
        <v>1.075</v>
      </c>
      <c r="O17" s="348">
        <f>[1]!srIx2Val(M$6,K17,4)</f>
        <v>1.12907</v>
      </c>
      <c r="P17" s="482"/>
      <c r="Q17" s="466"/>
      <c r="R17" s="466"/>
      <c r="S17" s="466"/>
      <c r="T17" s="36"/>
    </row>
    <row r="18" spans="2:20" s="70" customFormat="1">
      <c r="G18" s="692" t="s">
        <v>448</v>
      </c>
      <c r="H18" s="695">
        <f>D17</f>
        <v>5.9175939192824147E-5</v>
      </c>
      <c r="I18" s="694">
        <f>D12</f>
        <v>2</v>
      </c>
      <c r="K18" s="35">
        <f t="shared" si="0"/>
        <v>27</v>
      </c>
      <c r="L18" s="718">
        <f>[1]!srIx2Val(M$6,K18,1)</f>
        <v>1.9035532994923858E-5</v>
      </c>
      <c r="M18" s="348">
        <f>[1]!srIx2Val(M$6,K18,2)</f>
        <v>5.5969999999999999E-2</v>
      </c>
      <c r="N18" s="348">
        <f>[1]!srIx2Val(M$6,K18,3)</f>
        <v>1.113</v>
      </c>
      <c r="O18" s="348">
        <f>[1]!srIx2Val(M$6,K18,4)</f>
        <v>1.1689700000000001</v>
      </c>
      <c r="P18" s="482"/>
      <c r="Q18" s="466"/>
      <c r="R18" s="466"/>
      <c r="S18" s="466"/>
      <c r="T18" s="36"/>
    </row>
    <row r="19" spans="2:20" s="70" customFormat="1">
      <c r="H19" s="696" t="e">
        <f>E17</f>
        <v>#N/A</v>
      </c>
      <c r="I19" s="697">
        <f>D12</f>
        <v>2</v>
      </c>
      <c r="J19" s="217"/>
      <c r="K19" s="35">
        <f t="shared" si="0"/>
        <v>28</v>
      </c>
      <c r="L19" s="718">
        <f>[1]!srIx2Val(M$6,K19,1)</f>
        <v>2.0304568527918781E-5</v>
      </c>
      <c r="M19" s="348">
        <f>[1]!srIx2Val(M$6,K19,2)</f>
        <v>5.781E-2</v>
      </c>
      <c r="N19" s="348">
        <f>[1]!srIx2Val(M$6,K19,3)</f>
        <v>1.1499999999999999</v>
      </c>
      <c r="O19" s="348">
        <f>[1]!srIx2Val(M$6,K19,4)</f>
        <v>1.2078099999999998</v>
      </c>
      <c r="P19" s="482"/>
      <c r="Q19" s="466"/>
      <c r="R19" s="466"/>
      <c r="S19" s="466"/>
      <c r="T19" s="36"/>
    </row>
    <row r="20" spans="2:20">
      <c r="B20" s="35"/>
      <c r="C20" s="80"/>
      <c r="D20" s="107"/>
      <c r="E20" s="489"/>
      <c r="F20" s="489"/>
      <c r="H20" s="207"/>
      <c r="I20" s="207"/>
      <c r="J20" s="9"/>
      <c r="K20" s="35">
        <f t="shared" si="0"/>
        <v>29</v>
      </c>
      <c r="L20" s="718">
        <f>[1]!srIx2Val(M$6,K20,1)</f>
        <v>2.2842639593908627E-5</v>
      </c>
      <c r="M20" s="348">
        <f>[1]!srIx2Val(M$6,K20,2)</f>
        <v>6.1310000000000003E-2</v>
      </c>
      <c r="N20" s="348">
        <f>[1]!srIx2Val(M$6,K20,3)</f>
        <v>1.22</v>
      </c>
      <c r="O20" s="348">
        <f>[1]!srIx2Val(M$6,K20,4)</f>
        <v>1.2813099999999999</v>
      </c>
      <c r="P20" s="482"/>
      <c r="Q20" s="466"/>
      <c r="R20" s="466"/>
      <c r="S20" s="466"/>
      <c r="T20" s="36"/>
    </row>
    <row r="21" spans="2:20">
      <c r="B21" s="35"/>
      <c r="C21" s="80"/>
      <c r="D21" s="107"/>
      <c r="E21" s="489"/>
      <c r="F21" s="489"/>
      <c r="H21" s="207"/>
      <c r="I21" s="488"/>
      <c r="J21" s="9"/>
      <c r="K21" s="35">
        <f t="shared" si="0"/>
        <v>30</v>
      </c>
      <c r="L21" s="718">
        <f>[1]!srIx2Val(M$6,K21,1)</f>
        <v>2.5380710659898476E-5</v>
      </c>
      <c r="M21" s="348">
        <f>[1]!srIx2Val(M$6,K21,2)</f>
        <v>6.4630000000000007E-2</v>
      </c>
      <c r="N21" s="348">
        <f>[1]!srIx2Val(M$6,K21,3)</f>
        <v>1.2849999999999999</v>
      </c>
      <c r="O21" s="348">
        <f>[1]!srIx2Val(M$6,K21,4)</f>
        <v>1.3496299999999999</v>
      </c>
      <c r="P21" s="482"/>
      <c r="Q21" s="466"/>
      <c r="R21" s="466"/>
      <c r="S21" s="466"/>
    </row>
    <row r="22" spans="2:20">
      <c r="B22" s="71"/>
      <c r="C22" s="80"/>
      <c r="D22" s="107"/>
      <c r="E22" s="547"/>
      <c r="F22" s="547"/>
      <c r="G22" s="489"/>
      <c r="H22" s="547"/>
      <c r="I22" s="465"/>
      <c r="J22" s="9"/>
      <c r="K22" s="35">
        <f t="shared" si="0"/>
        <v>31</v>
      </c>
      <c r="L22" s="718">
        <f>[1]!srIx2Val(M$6,K22,1)</f>
        <v>2.7918781725888322E-5</v>
      </c>
      <c r="M22" s="348">
        <f>[1]!srIx2Val(M$6,K22,2)</f>
        <v>6.7790000000000003E-2</v>
      </c>
      <c r="N22" s="348">
        <f>[1]!srIx2Val(M$6,K22,3)</f>
        <v>1.3460000000000001</v>
      </c>
      <c r="O22" s="348">
        <f>[1]!srIx2Val(M$6,K22,4)</f>
        <v>1.4137900000000001</v>
      </c>
      <c r="P22" s="482"/>
      <c r="Q22" s="466"/>
      <c r="R22" s="466"/>
      <c r="S22" s="466"/>
    </row>
    <row r="23" spans="2:20">
      <c r="B23" s="36"/>
      <c r="C23" s="492"/>
      <c r="D23" s="488"/>
      <c r="E23" s="207"/>
      <c r="F23" s="207"/>
      <c r="G23" s="489"/>
      <c r="H23" s="207"/>
      <c r="I23" s="488"/>
      <c r="J23" s="9"/>
      <c r="K23" s="35">
        <f t="shared" si="0"/>
        <v>32</v>
      </c>
      <c r="L23" s="718">
        <f>[1]!srIx2Val(M$6,K23,1)</f>
        <v>3.0456852791878172E-5</v>
      </c>
      <c r="M23" s="348">
        <f>[1]!srIx2Val(M$6,K23,2)</f>
        <v>7.0800000000000002E-2</v>
      </c>
      <c r="N23" s="348">
        <f>[1]!srIx2Val(M$6,K23,3)</f>
        <v>1.4039999999999999</v>
      </c>
      <c r="O23" s="348">
        <f>[1]!srIx2Val(M$6,K23,4)</f>
        <v>1.4747999999999999</v>
      </c>
      <c r="P23" s="482"/>
      <c r="Q23" s="466"/>
      <c r="R23" s="466"/>
      <c r="S23" s="466"/>
    </row>
    <row r="24" spans="2:20">
      <c r="B24" s="35"/>
      <c r="C24" s="36"/>
      <c r="D24" s="586"/>
      <c r="E24" s="203"/>
      <c r="F24" s="203"/>
      <c r="G24" s="668"/>
      <c r="H24" s="203"/>
      <c r="I24" s="467"/>
      <c r="J24" s="9"/>
      <c r="K24" s="35">
        <f t="shared" si="0"/>
        <v>33</v>
      </c>
      <c r="L24" s="718">
        <f>[1]!srIx2Val(M$6,K24,1)</f>
        <v>3.2994923857868018E-5</v>
      </c>
      <c r="M24" s="348">
        <f>[1]!srIx2Val(M$6,K24,2)</f>
        <v>7.3690000000000005E-2</v>
      </c>
      <c r="N24" s="348">
        <f>[1]!srIx2Val(M$6,K24,3)</f>
        <v>1.458</v>
      </c>
      <c r="O24" s="348">
        <f>[1]!srIx2Val(M$6,K24,4)</f>
        <v>1.53169</v>
      </c>
      <c r="P24" s="482"/>
      <c r="Q24" s="466"/>
      <c r="R24" s="466"/>
      <c r="S24" s="466"/>
    </row>
    <row r="25" spans="2:20">
      <c r="B25" s="36"/>
      <c r="C25" s="36"/>
      <c r="D25" s="37"/>
      <c r="E25" s="207"/>
      <c r="F25" s="207"/>
      <c r="G25" s="489"/>
      <c r="H25" s="207"/>
      <c r="I25" s="488"/>
      <c r="J25" s="35"/>
      <c r="K25" s="35">
        <f t="shared" si="0"/>
        <v>34</v>
      </c>
      <c r="L25" s="718">
        <f>[1]!srIx2Val(M$6,K25,1)</f>
        <v>3.553299492385787E-5</v>
      </c>
      <c r="M25" s="348">
        <f>[1]!srIx2Val(M$6,K25,2)</f>
        <v>7.6469999999999996E-2</v>
      </c>
      <c r="N25" s="348">
        <f>[1]!srIx2Val(M$6,K25,3)</f>
        <v>1.51</v>
      </c>
      <c r="O25" s="348">
        <f>[1]!srIx2Val(M$6,K25,4)</f>
        <v>1.58647</v>
      </c>
      <c r="P25" s="482"/>
      <c r="Q25" s="466"/>
      <c r="R25" s="466"/>
      <c r="S25" s="466"/>
    </row>
    <row r="26" spans="2:20">
      <c r="B26" s="546"/>
      <c r="C26" s="492"/>
      <c r="D26" s="586"/>
      <c r="E26" s="203"/>
      <c r="F26" s="203"/>
      <c r="G26" s="668"/>
      <c r="H26" s="203"/>
      <c r="I26" s="467"/>
      <c r="J26" s="35"/>
      <c r="K26" s="35">
        <f t="shared" si="0"/>
        <v>35</v>
      </c>
      <c r="L26" s="718">
        <f>[1]!srIx2Val(M$6,K26,1)</f>
        <v>4.0609137055837562E-5</v>
      </c>
      <c r="M26" s="348">
        <f>[1]!srIx2Val(M$6,K26,2)</f>
        <v>8.1750000000000003E-2</v>
      </c>
      <c r="N26" s="348">
        <f>[1]!srIx2Val(M$6,K26,3)</f>
        <v>1.607</v>
      </c>
      <c r="O26" s="348">
        <f>[1]!srIx2Val(M$6,K26,4)</f>
        <v>1.68875</v>
      </c>
      <c r="P26" s="482"/>
      <c r="Q26" s="466"/>
      <c r="R26" s="466"/>
      <c r="S26" s="466"/>
    </row>
    <row r="27" spans="2:20">
      <c r="B27" s="36"/>
      <c r="C27" s="36"/>
      <c r="D27" s="37"/>
      <c r="E27" s="207"/>
      <c r="F27" s="207"/>
      <c r="G27" s="489"/>
      <c r="H27" s="207"/>
      <c r="I27" s="488"/>
      <c r="J27" s="9"/>
      <c r="K27" s="35">
        <f t="shared" si="0"/>
        <v>36</v>
      </c>
      <c r="L27" s="718">
        <f>[1]!srIx2Val(M$6,K27,1)</f>
        <v>4.5685279187817254E-5</v>
      </c>
      <c r="M27" s="348">
        <f>[1]!srIx2Val(M$6,K27,2)</f>
        <v>8.6709999999999995E-2</v>
      </c>
      <c r="N27" s="348">
        <f>[1]!srIx2Val(M$6,K27,3)</f>
        <v>1.696</v>
      </c>
      <c r="O27" s="348">
        <f>[1]!srIx2Val(M$6,K27,4)</f>
        <v>1.78271</v>
      </c>
      <c r="P27" s="482"/>
      <c r="Q27" s="466"/>
      <c r="R27" s="466"/>
      <c r="S27" s="466"/>
    </row>
    <row r="28" spans="2:20">
      <c r="B28" s="36"/>
      <c r="C28" s="36"/>
      <c r="D28" s="586"/>
      <c r="E28" s="203"/>
      <c r="F28" s="203"/>
      <c r="G28" s="668"/>
      <c r="H28" s="203"/>
      <c r="I28" s="467"/>
      <c r="J28" s="9"/>
      <c r="K28" s="35">
        <f t="shared" si="0"/>
        <v>37</v>
      </c>
      <c r="L28" s="718">
        <f>[1]!srIx2Val(M$6,K28,1)</f>
        <v>5.0761421319796953E-5</v>
      </c>
      <c r="M28" s="348">
        <f>[1]!srIx2Val(M$6,K28,2)</f>
        <v>9.1399999999999995E-2</v>
      </c>
      <c r="N28" s="348">
        <f>[1]!srIx2Val(M$6,K28,3)</f>
        <v>1.778</v>
      </c>
      <c r="O28" s="348">
        <f>[1]!srIx2Val(M$6,K28,4)</f>
        <v>1.8694</v>
      </c>
      <c r="P28" s="482"/>
      <c r="Q28" s="466"/>
      <c r="R28" s="466"/>
      <c r="S28" s="466"/>
    </row>
    <row r="29" spans="2:20">
      <c r="B29" s="36"/>
      <c r="C29" s="36"/>
      <c r="D29" s="37"/>
      <c r="E29" s="35"/>
      <c r="F29" s="35"/>
      <c r="G29" s="585"/>
      <c r="H29" s="35"/>
      <c r="I29" s="35"/>
      <c r="J29" s="9"/>
      <c r="K29" s="35">
        <f t="shared" si="0"/>
        <v>38</v>
      </c>
      <c r="L29" s="718">
        <f>[1]!srIx2Val(M$6,K29,1)</f>
        <v>5.5837563451776645E-5</v>
      </c>
      <c r="M29" s="348">
        <f>[1]!srIx2Val(M$6,K29,2)</f>
        <v>9.5860000000000001E-2</v>
      </c>
      <c r="N29" s="348">
        <f>[1]!srIx2Val(M$6,K29,3)</f>
        <v>1.8540000000000001</v>
      </c>
      <c r="O29" s="348">
        <f>[1]!srIx2Val(M$6,K29,4)</f>
        <v>1.9498600000000001</v>
      </c>
      <c r="P29" s="482"/>
      <c r="Q29" s="466"/>
      <c r="R29" s="466"/>
      <c r="S29" s="466"/>
    </row>
    <row r="30" spans="2:20">
      <c r="C30" s="491"/>
      <c r="D30" s="586"/>
      <c r="E30" s="36"/>
      <c r="F30" s="36"/>
      <c r="G30" s="587"/>
      <c r="H30" s="35"/>
      <c r="I30" s="36"/>
      <c r="J30" s="217"/>
      <c r="K30" s="35">
        <f t="shared" si="0"/>
        <v>39</v>
      </c>
      <c r="L30" s="718">
        <f>[1]!srIx2Val(M$6,K30,1)</f>
        <v>6.0913705583756343E-5</v>
      </c>
      <c r="M30" s="348">
        <f>[1]!srIx2Val(M$6,K30,2)</f>
        <v>0.10009999999999999</v>
      </c>
      <c r="N30" s="348">
        <f>[1]!srIx2Val(M$6,K30,3)</f>
        <v>1.9259999999999999</v>
      </c>
      <c r="O30" s="348">
        <f>[1]!srIx2Val(M$6,K30,4)</f>
        <v>2.0261</v>
      </c>
      <c r="P30" s="482"/>
      <c r="Q30" s="466"/>
      <c r="R30" s="466"/>
      <c r="S30" s="466"/>
    </row>
    <row r="31" spans="2:20">
      <c r="H31" s="488"/>
      <c r="I31" s="466"/>
      <c r="J31" s="217"/>
      <c r="K31" s="35">
        <f t="shared" si="0"/>
        <v>40</v>
      </c>
      <c r="L31" s="718">
        <f>[1]!srIx2Val(M$6,K31,1)</f>
        <v>6.5989847715736035E-5</v>
      </c>
      <c r="M31" s="348">
        <f>[1]!srIx2Val(M$6,K31,2)</f>
        <v>0.1042</v>
      </c>
      <c r="N31" s="348">
        <f>[1]!srIx2Val(M$6,K31,3)</f>
        <v>1.994</v>
      </c>
      <c r="O31" s="348">
        <f>[1]!srIx2Val(M$6,K31,4)</f>
        <v>2.0981999999999998</v>
      </c>
      <c r="P31" s="482"/>
      <c r="Q31" s="466"/>
      <c r="R31" s="466"/>
      <c r="S31" s="466"/>
    </row>
    <row r="32" spans="2:20">
      <c r="H32" s="488"/>
      <c r="I32" s="466"/>
      <c r="J32" s="217"/>
      <c r="K32" s="35">
        <f t="shared" si="0"/>
        <v>41</v>
      </c>
      <c r="L32" s="718">
        <f>[1]!srIx2Val(M$6,K32,1)</f>
        <v>7.1065989847715741E-5</v>
      </c>
      <c r="M32" s="348">
        <f>[1]!srIx2Val(M$6,K32,2)</f>
        <v>0.1081</v>
      </c>
      <c r="N32" s="348">
        <f>[1]!srIx2Val(M$6,K32,3)</f>
        <v>2.0569999999999999</v>
      </c>
      <c r="O32" s="348">
        <f>[1]!srIx2Val(M$6,K32,4)</f>
        <v>2.1650999999999998</v>
      </c>
      <c r="P32" s="482"/>
      <c r="Q32" s="466"/>
      <c r="R32" s="466"/>
      <c r="S32" s="466"/>
    </row>
    <row r="33" spans="2:19">
      <c r="H33" s="488"/>
      <c r="I33" s="466"/>
      <c r="J33" s="9"/>
      <c r="K33" s="35">
        <f t="shared" si="0"/>
        <v>42</v>
      </c>
      <c r="L33" s="718">
        <f>[1]!srIx2Val(M$6,K33,1)</f>
        <v>7.6142131979695433E-5</v>
      </c>
      <c r="M33" s="348">
        <f>[1]!srIx2Val(M$6,K33,2)</f>
        <v>0.1119</v>
      </c>
      <c r="N33" s="348">
        <f>[1]!srIx2Val(M$6,K33,3)</f>
        <v>2.1179999999999999</v>
      </c>
      <c r="O33" s="348">
        <f>[1]!srIx2Val(M$6,K33,4)</f>
        <v>2.2298999999999998</v>
      </c>
      <c r="P33" s="482"/>
      <c r="Q33" s="466"/>
      <c r="R33" s="466"/>
      <c r="S33" s="466"/>
    </row>
    <row r="34" spans="2:19">
      <c r="H34" s="488"/>
      <c r="I34" s="466"/>
      <c r="J34" s="35"/>
      <c r="K34" s="35">
        <f t="shared" si="0"/>
        <v>43</v>
      </c>
      <c r="L34" s="718">
        <f>[1]!srIx2Val(M$6,K34,1)</f>
        <v>8.1218274111675124E-5</v>
      </c>
      <c r="M34" s="348">
        <f>[1]!srIx2Val(M$6,K34,2)</f>
        <v>0.11559999999999999</v>
      </c>
      <c r="N34" s="348">
        <f>[1]!srIx2Val(M$6,K34,3)</f>
        <v>2.1749999999999998</v>
      </c>
      <c r="O34" s="348">
        <f>[1]!srIx2Val(M$6,K34,4)</f>
        <v>2.2906</v>
      </c>
      <c r="P34" s="482"/>
      <c r="Q34" s="466"/>
      <c r="R34" s="466"/>
      <c r="S34" s="466"/>
    </row>
    <row r="35" spans="2:19">
      <c r="H35" s="488"/>
      <c r="I35" s="466"/>
      <c r="J35" s="35"/>
      <c r="K35" s="35">
        <f t="shared" si="0"/>
        <v>44</v>
      </c>
      <c r="L35" s="718">
        <f>[1]!srIx2Val(M$6,K35,1)</f>
        <v>8.629441624365483E-5</v>
      </c>
      <c r="M35" s="348">
        <f>[1]!srIx2Val(M$6,K35,2)</f>
        <v>0.1192</v>
      </c>
      <c r="N35" s="348">
        <f>[1]!srIx2Val(M$6,K35,3)</f>
        <v>2.23</v>
      </c>
      <c r="O35" s="348">
        <f>[1]!srIx2Val(M$6,K35,4)</f>
        <v>2.3492000000000002</v>
      </c>
      <c r="P35" s="482"/>
      <c r="Q35" s="466"/>
      <c r="R35" s="466"/>
      <c r="S35" s="466"/>
    </row>
    <row r="36" spans="2:19">
      <c r="H36" s="488"/>
      <c r="I36" s="466"/>
      <c r="J36" s="35"/>
      <c r="K36" s="35">
        <f t="shared" si="0"/>
        <v>45</v>
      </c>
      <c r="L36" s="718">
        <f>[1]!srIx2Val(M$6,K36,1)</f>
        <v>9.1370558375634508E-5</v>
      </c>
      <c r="M36" s="348">
        <f>[1]!srIx2Val(M$6,K36,2)</f>
        <v>0.1226</v>
      </c>
      <c r="N36" s="348">
        <f>[1]!srIx2Val(M$6,K36,3)</f>
        <v>2.282</v>
      </c>
      <c r="O36" s="348">
        <f>[1]!srIx2Val(M$6,K36,4)</f>
        <v>2.4045999999999998</v>
      </c>
      <c r="P36" s="482"/>
      <c r="Q36" s="466"/>
      <c r="R36" s="466"/>
      <c r="S36" s="466"/>
    </row>
    <row r="37" spans="2:19" s="9" customFormat="1" ht="12">
      <c r="J37" s="35"/>
      <c r="K37" s="35">
        <f t="shared" si="0"/>
        <v>46</v>
      </c>
      <c r="L37" s="718">
        <f>[1]!srIx2Val(M$6,K37,1)</f>
        <v>1.0152284263959391E-4</v>
      </c>
      <c r="M37" s="348">
        <f>[1]!srIx2Val(M$6,K37,2)</f>
        <v>0.1293</v>
      </c>
      <c r="N37" s="348">
        <f>[1]!srIx2Val(M$6,K37,3)</f>
        <v>2.38</v>
      </c>
      <c r="O37" s="348">
        <f>[1]!srIx2Val(M$6,K37,4)</f>
        <v>2.5093000000000001</v>
      </c>
      <c r="P37" s="482"/>
      <c r="Q37" s="466"/>
      <c r="R37" s="466"/>
      <c r="S37" s="466"/>
    </row>
    <row r="38" spans="2:19" s="9" customFormat="1" ht="12">
      <c r="K38" s="35">
        <f t="shared" si="0"/>
        <v>47</v>
      </c>
      <c r="L38" s="718">
        <f>[1]!srIx2Val(M$6,K38,1)</f>
        <v>1.1421319796954314E-4</v>
      </c>
      <c r="M38" s="348">
        <f>[1]!srIx2Val(M$6,K38,2)</f>
        <v>0.1371</v>
      </c>
      <c r="N38" s="348">
        <f>[1]!srIx2Val(M$6,K38,3)</f>
        <v>2.492</v>
      </c>
      <c r="O38" s="348">
        <f>[1]!srIx2Val(M$6,K38,4)</f>
        <v>2.6291000000000002</v>
      </c>
      <c r="P38" s="482"/>
      <c r="Q38" s="466"/>
      <c r="R38" s="466"/>
      <c r="S38" s="466"/>
    </row>
    <row r="39" spans="2:19" s="9" customFormat="1" ht="12">
      <c r="H39" s="488"/>
      <c r="I39" s="466"/>
      <c r="K39" s="35">
        <f t="shared" si="0"/>
        <v>48</v>
      </c>
      <c r="L39" s="718">
        <f>[1]!srIx2Val(M$6,K39,1)</f>
        <v>1.2690355329949239E-4</v>
      </c>
      <c r="M39" s="348">
        <f>[1]!srIx2Val(M$6,K39,2)</f>
        <v>0.14449999999999999</v>
      </c>
      <c r="N39" s="348">
        <f>[1]!srIx2Val(M$6,K39,3)</f>
        <v>2.5939999999999999</v>
      </c>
      <c r="O39" s="348">
        <f>[1]!srIx2Val(M$6,K39,4)</f>
        <v>2.7384999999999997</v>
      </c>
      <c r="P39" s="482"/>
      <c r="Q39" s="466"/>
      <c r="R39" s="466"/>
      <c r="S39" s="466"/>
    </row>
    <row r="40" spans="2:19" s="9" customFormat="1" ht="12">
      <c r="H40" s="488"/>
      <c r="I40" s="466"/>
      <c r="K40" s="35">
        <f t="shared" si="0"/>
        <v>49</v>
      </c>
      <c r="L40" s="718">
        <f>[1]!srIx2Val(M$6,K40,1)</f>
        <v>1.3959390862944163E-4</v>
      </c>
      <c r="M40" s="348">
        <f>[1]!srIx2Val(M$6,K40,2)</f>
        <v>0.15160000000000001</v>
      </c>
      <c r="N40" s="348">
        <f>[1]!srIx2Val(M$6,K40,3)</f>
        <v>2.6880000000000002</v>
      </c>
      <c r="O40" s="348">
        <f>[1]!srIx2Val(M$6,K40,4)</f>
        <v>2.8396000000000003</v>
      </c>
      <c r="P40" s="482"/>
      <c r="Q40" s="466"/>
      <c r="R40" s="466"/>
      <c r="S40" s="466"/>
    </row>
    <row r="41" spans="2:19" s="9" customFormat="1" ht="12">
      <c r="H41" s="488"/>
      <c r="I41" s="466"/>
      <c r="K41" s="35">
        <f t="shared" si="0"/>
        <v>50</v>
      </c>
      <c r="L41" s="718">
        <f>[1]!srIx2Val(M$6,K41,1)</f>
        <v>1.5228426395939087E-4</v>
      </c>
      <c r="M41" s="348">
        <f>[1]!srIx2Val(M$6,K41,2)</f>
        <v>0.1583</v>
      </c>
      <c r="N41" s="348">
        <f>[1]!srIx2Val(M$6,K41,3)</f>
        <v>2.7749999999999999</v>
      </c>
      <c r="O41" s="348">
        <f>[1]!srIx2Val(M$6,K41,4)</f>
        <v>2.9333</v>
      </c>
      <c r="P41" s="482"/>
      <c r="Q41" s="466"/>
      <c r="R41" s="466"/>
      <c r="S41" s="466"/>
    </row>
    <row r="42" spans="2:19" s="9" customFormat="1" ht="12">
      <c r="B42" s="534"/>
      <c r="C42" s="489"/>
      <c r="D42" s="535"/>
      <c r="E42" s="535"/>
      <c r="F42" s="535"/>
      <c r="G42" s="535"/>
      <c r="H42" s="488"/>
      <c r="I42" s="466"/>
      <c r="K42" s="35">
        <f t="shared" si="0"/>
        <v>51</v>
      </c>
      <c r="L42" s="718">
        <f>[1]!srIx2Val(M$6,K42,1)</f>
        <v>1.649746192893401E-4</v>
      </c>
      <c r="M42" s="348">
        <f>[1]!srIx2Val(M$6,K42,2)</f>
        <v>0.1648</v>
      </c>
      <c r="N42" s="348">
        <f>[1]!srIx2Val(M$6,K42,3)</f>
        <v>2.855</v>
      </c>
      <c r="O42" s="348">
        <f>[1]!srIx2Val(M$6,K42,4)</f>
        <v>3.0198</v>
      </c>
      <c r="P42" s="482"/>
      <c r="Q42" s="466"/>
      <c r="R42" s="466"/>
      <c r="S42" s="466"/>
    </row>
    <row r="43" spans="2:19" s="9" customFormat="1" ht="12">
      <c r="B43" s="534"/>
      <c r="C43" s="537"/>
      <c r="D43" s="538"/>
      <c r="E43" s="488"/>
      <c r="F43" s="488"/>
      <c r="G43" s="536"/>
      <c r="H43" s="488"/>
      <c r="I43" s="466"/>
      <c r="K43" s="35">
        <f t="shared" si="0"/>
        <v>52</v>
      </c>
      <c r="L43" s="718">
        <f>[1]!srIx2Val(M$6,K43,1)</f>
        <v>1.7766497461928937E-4</v>
      </c>
      <c r="M43" s="348">
        <f>[1]!srIx2Val(M$6,K43,2)</f>
        <v>0.17100000000000001</v>
      </c>
      <c r="N43" s="348">
        <f>[1]!srIx2Val(M$6,K43,3)</f>
        <v>2.931</v>
      </c>
      <c r="O43" s="348">
        <f>[1]!srIx2Val(M$6,K43,4)</f>
        <v>3.1019999999999999</v>
      </c>
      <c r="P43" s="482"/>
      <c r="Q43" s="466"/>
      <c r="R43" s="466"/>
      <c r="S43" s="466"/>
    </row>
    <row r="44" spans="2:19" s="9" customFormat="1" ht="12">
      <c r="D44" s="365"/>
      <c r="E44" s="35"/>
      <c r="F44" s="35"/>
      <c r="G44" s="465"/>
      <c r="H44" s="35"/>
      <c r="I44" s="466"/>
      <c r="K44" s="35">
        <f t="shared" si="0"/>
        <v>53</v>
      </c>
      <c r="L44" s="718">
        <f>[1]!srIx2Val(M$6,K44,1)</f>
        <v>1.9035532994923857E-4</v>
      </c>
      <c r="M44" s="348">
        <f>[1]!srIx2Val(M$6,K44,2)</f>
        <v>0.17699999999999999</v>
      </c>
      <c r="N44" s="348">
        <f>[1]!srIx2Val(M$6,K44,3)</f>
        <v>3.0019999999999998</v>
      </c>
      <c r="O44" s="348">
        <f>[1]!srIx2Val(M$6,K44,4)</f>
        <v>3.1789999999999998</v>
      </c>
      <c r="P44" s="482"/>
      <c r="Q44" s="466"/>
      <c r="R44" s="466"/>
      <c r="S44" s="466"/>
    </row>
    <row r="45" spans="2:19" s="9" customFormat="1" ht="12">
      <c r="E45" s="35"/>
      <c r="F45" s="35"/>
      <c r="G45" s="465"/>
      <c r="H45" s="35"/>
      <c r="I45" s="466"/>
      <c r="K45" s="35">
        <f t="shared" si="0"/>
        <v>54</v>
      </c>
      <c r="L45" s="718">
        <f>[1]!srIx2Val(M$6,K45,1)</f>
        <v>2.0304568527918781E-4</v>
      </c>
      <c r="M45" s="348">
        <f>[1]!srIx2Val(M$6,K45,2)</f>
        <v>0.18279999999999999</v>
      </c>
      <c r="N45" s="348">
        <f>[1]!srIx2Val(M$6,K45,3)</f>
        <v>3.0680000000000001</v>
      </c>
      <c r="O45" s="348">
        <f>[1]!srIx2Val(M$6,K45,4)</f>
        <v>3.2507999999999999</v>
      </c>
      <c r="P45" s="482"/>
      <c r="Q45" s="466"/>
      <c r="R45" s="466"/>
      <c r="S45" s="466"/>
    </row>
    <row r="46" spans="2:19" s="9" customFormat="1" ht="12">
      <c r="D46" s="365"/>
      <c r="K46" s="35">
        <f t="shared" si="0"/>
        <v>55</v>
      </c>
      <c r="L46" s="718">
        <f>[1]!srIx2Val(M$6,K46,1)</f>
        <v>2.2842639593908628E-4</v>
      </c>
      <c r="M46" s="348">
        <f>[1]!srIx2Val(M$6,K46,2)</f>
        <v>0.19389999999999999</v>
      </c>
      <c r="N46" s="348">
        <f>[1]!srIx2Val(M$6,K46,3)</f>
        <v>3.19</v>
      </c>
      <c r="O46" s="348">
        <f>[1]!srIx2Val(M$6,K46,4)</f>
        <v>3.3839000000000001</v>
      </c>
      <c r="P46" s="482"/>
      <c r="Q46" s="466"/>
      <c r="R46" s="466"/>
      <c r="S46" s="466"/>
    </row>
    <row r="47" spans="2:19" s="9" customFormat="1" ht="12">
      <c r="K47" s="35">
        <f t="shared" si="0"/>
        <v>56</v>
      </c>
      <c r="L47" s="718">
        <f>[1]!srIx2Val(M$6,K47,1)</f>
        <v>2.5380710659898478E-4</v>
      </c>
      <c r="M47" s="348">
        <f>[1]!srIx2Val(M$6,K47,2)</f>
        <v>0.2044</v>
      </c>
      <c r="N47" s="348">
        <f>[1]!srIx2Val(M$6,K47,3)</f>
        <v>3.3</v>
      </c>
      <c r="O47" s="348">
        <f>[1]!srIx2Val(M$6,K47,4)</f>
        <v>3.5044</v>
      </c>
      <c r="P47" s="482"/>
      <c r="Q47" s="466"/>
      <c r="R47" s="466"/>
      <c r="S47" s="466"/>
    </row>
    <row r="48" spans="2:19" s="9" customFormat="1" ht="12">
      <c r="D48" s="365"/>
      <c r="K48" s="35">
        <f t="shared" si="0"/>
        <v>57</v>
      </c>
      <c r="L48" s="718">
        <f>[1]!srIx2Val(M$6,K48,1)</f>
        <v>2.7918781725888326E-4</v>
      </c>
      <c r="M48" s="348">
        <f>[1]!srIx2Val(M$6,K48,2)</f>
        <v>0.21440000000000001</v>
      </c>
      <c r="N48" s="348">
        <f>[1]!srIx2Val(M$6,K48,3)</f>
        <v>3.4</v>
      </c>
      <c r="O48" s="348">
        <f>[1]!srIx2Val(M$6,K48,4)</f>
        <v>3.6143999999999998</v>
      </c>
      <c r="P48" s="482"/>
      <c r="Q48" s="466"/>
      <c r="R48" s="466"/>
      <c r="S48" s="466"/>
    </row>
    <row r="49" spans="2:19">
      <c r="B49" s="9"/>
      <c r="C49" s="9"/>
      <c r="D49" s="365"/>
      <c r="J49" s="9"/>
      <c r="K49" s="35">
        <f t="shared" si="0"/>
        <v>58</v>
      </c>
      <c r="L49" s="718">
        <f>[1]!srIx2Val(M$6,K49,1)</f>
        <v>3.0456852791878173E-4</v>
      </c>
      <c r="M49" s="348">
        <f>[1]!srIx2Val(M$6,K49,2)</f>
        <v>0.22389999999999999</v>
      </c>
      <c r="N49" s="348">
        <f>[1]!srIx2Val(M$6,K49,3)</f>
        <v>3.4910000000000001</v>
      </c>
      <c r="O49" s="348">
        <f>[1]!srIx2Val(M$6,K49,4)</f>
        <v>3.7149000000000001</v>
      </c>
      <c r="P49" s="482"/>
      <c r="Q49" s="466"/>
      <c r="R49" s="466"/>
      <c r="S49" s="466"/>
    </row>
    <row r="50" spans="2:19">
      <c r="B50" s="9"/>
      <c r="C50" s="9"/>
      <c r="J50" s="9"/>
      <c r="K50" s="35">
        <f t="shared" si="0"/>
        <v>59</v>
      </c>
      <c r="L50" s="718">
        <f>[1]!srIx2Val(M$6,K50,1)</f>
        <v>3.299492385786802E-4</v>
      </c>
      <c r="M50" s="348">
        <f>[1]!srIx2Val(M$6,K50,2)</f>
        <v>0.23300000000000001</v>
      </c>
      <c r="N50" s="348">
        <f>[1]!srIx2Val(M$6,K50,3)</f>
        <v>3.5750000000000002</v>
      </c>
      <c r="O50" s="348">
        <f>[1]!srIx2Val(M$6,K50,4)</f>
        <v>3.8080000000000003</v>
      </c>
      <c r="P50" s="482"/>
      <c r="Q50" s="466"/>
      <c r="R50" s="466"/>
      <c r="S50" s="466"/>
    </row>
    <row r="51" spans="2:19">
      <c r="B51" s="9"/>
      <c r="C51" s="9"/>
      <c r="J51" s="9"/>
      <c r="K51" s="35">
        <f t="shared" si="0"/>
        <v>60</v>
      </c>
      <c r="L51" s="718">
        <f>[1]!srIx2Val(M$6,K51,1)</f>
        <v>3.5532994923857873E-4</v>
      </c>
      <c r="M51" s="348">
        <f>[1]!srIx2Val(M$6,K51,2)</f>
        <v>0.24179999999999999</v>
      </c>
      <c r="N51" s="348">
        <f>[1]!srIx2Val(M$6,K51,3)</f>
        <v>3.6520000000000001</v>
      </c>
      <c r="O51" s="348">
        <f>[1]!srIx2Val(M$6,K51,4)</f>
        <v>3.8938000000000001</v>
      </c>
      <c r="P51" s="482"/>
      <c r="Q51" s="466"/>
      <c r="R51" s="466"/>
      <c r="S51" s="466"/>
    </row>
    <row r="52" spans="2:19">
      <c r="B52" s="9"/>
      <c r="C52" s="9"/>
      <c r="J52" s="9"/>
      <c r="K52" s="35">
        <f t="shared" si="0"/>
        <v>61</v>
      </c>
      <c r="L52" s="718">
        <f>[1]!srIx2Val(M$6,K52,1)</f>
        <v>4.0609137055837562E-4</v>
      </c>
      <c r="M52" s="348">
        <f>[1]!srIx2Val(M$6,K52,2)</f>
        <v>0.25850000000000001</v>
      </c>
      <c r="N52" s="348">
        <f>[1]!srIx2Val(M$6,K52,3)</f>
        <v>3.7909999999999999</v>
      </c>
      <c r="O52" s="348">
        <f>[1]!srIx2Val(M$6,K52,4)</f>
        <v>4.0495000000000001</v>
      </c>
      <c r="P52" s="482"/>
      <c r="Q52" s="466"/>
      <c r="R52" s="466"/>
      <c r="S52" s="466"/>
    </row>
    <row r="53" spans="2:19">
      <c r="B53" s="9"/>
      <c r="C53" s="9"/>
      <c r="J53" s="9"/>
      <c r="K53" s="35">
        <f t="shared" si="0"/>
        <v>62</v>
      </c>
      <c r="L53" s="718">
        <f>[1]!srIx2Val(M$6,K53,1)</f>
        <v>4.5685279187817257E-4</v>
      </c>
      <c r="M53" s="348">
        <f>[1]!srIx2Val(M$6,K53,2)</f>
        <v>0.2742</v>
      </c>
      <c r="N53" s="348">
        <f>[1]!srIx2Val(M$6,K53,3)</f>
        <v>3.9119999999999999</v>
      </c>
      <c r="O53" s="348">
        <f>[1]!srIx2Val(M$6,K53,4)</f>
        <v>4.1861999999999995</v>
      </c>
      <c r="P53" s="482"/>
      <c r="Q53" s="466"/>
      <c r="R53" s="466"/>
      <c r="S53" s="466"/>
    </row>
    <row r="54" spans="2:19">
      <c r="B54" s="9"/>
      <c r="C54" s="9"/>
      <c r="J54" s="9"/>
      <c r="K54" s="35">
        <f t="shared" si="0"/>
        <v>63</v>
      </c>
      <c r="L54" s="718">
        <f>[1]!srIx2Val(M$6,K54,1)</f>
        <v>5.0761421319796957E-4</v>
      </c>
      <c r="M54" s="348">
        <f>[1]!srIx2Val(M$6,K54,2)</f>
        <v>0.28899999999999998</v>
      </c>
      <c r="N54" s="348">
        <f>[1]!srIx2Val(M$6,K54,3)</f>
        <v>4.0179999999999998</v>
      </c>
      <c r="O54" s="348">
        <f>[1]!srIx2Val(M$6,K54,4)</f>
        <v>4.3069999999999995</v>
      </c>
      <c r="P54" s="482"/>
      <c r="Q54" s="466"/>
      <c r="R54" s="466"/>
      <c r="S54" s="466"/>
    </row>
    <row r="55" spans="2:19">
      <c r="B55" s="88"/>
      <c r="C55" s="88"/>
      <c r="D55" s="10"/>
      <c r="E55" s="10"/>
      <c r="F55" s="10"/>
      <c r="G55" s="10"/>
      <c r="J55" s="9"/>
      <c r="K55" s="35">
        <f t="shared" si="0"/>
        <v>64</v>
      </c>
      <c r="L55" s="718">
        <f>[1]!srIx2Val(M$6,K55,1)</f>
        <v>5.5837563451776651E-4</v>
      </c>
      <c r="M55" s="348">
        <f>[1]!srIx2Val(M$6,K55,2)</f>
        <v>0.30320000000000003</v>
      </c>
      <c r="N55" s="348">
        <f>[1]!srIx2Val(M$6,K55,3)</f>
        <v>4.1130000000000004</v>
      </c>
      <c r="O55" s="348">
        <f>[1]!srIx2Val(M$6,K55,4)</f>
        <v>4.4162000000000008</v>
      </c>
      <c r="P55" s="482"/>
      <c r="Q55" s="466"/>
      <c r="R55" s="466"/>
      <c r="S55" s="466"/>
    </row>
    <row r="56" spans="2:19">
      <c r="B56" s="488"/>
      <c r="C56" s="704"/>
      <c r="D56" s="489"/>
      <c r="E56" s="207"/>
      <c r="F56" s="207"/>
      <c r="G56" s="221"/>
      <c r="K56" s="35">
        <f t="shared" si="0"/>
        <v>65</v>
      </c>
      <c r="L56" s="718">
        <f>[1]!srIx2Val(M$6,K56,1)</f>
        <v>6.0913705583756346E-4</v>
      </c>
      <c r="M56" s="348">
        <f>[1]!srIx2Val(M$6,K56,2)</f>
        <v>0.31659999999999999</v>
      </c>
      <c r="N56" s="348">
        <f>[1]!srIx2Val(M$6,K56,3)</f>
        <v>4.1980000000000004</v>
      </c>
      <c r="O56" s="348">
        <f>[1]!srIx2Val(M$6,K56,4)</f>
        <v>4.5146000000000006</v>
      </c>
      <c r="P56" s="482"/>
      <c r="Q56" s="466"/>
      <c r="R56" s="466"/>
      <c r="S56" s="466"/>
    </row>
    <row r="57" spans="2:19">
      <c r="B57" s="488"/>
      <c r="C57" s="488"/>
      <c r="D57" s="488"/>
      <c r="E57" s="488"/>
      <c r="F57" s="488"/>
      <c r="G57" s="705"/>
      <c r="K57" s="35">
        <f t="shared" si="0"/>
        <v>66</v>
      </c>
      <c r="L57" s="718">
        <f>[1]!srIx2Val(M$6,K57,1)</f>
        <v>6.5989847715736041E-4</v>
      </c>
      <c r="M57" s="348">
        <f>[1]!srIx2Val(M$6,K57,2)</f>
        <v>0.3296</v>
      </c>
      <c r="N57" s="348">
        <f>[1]!srIx2Val(M$6,K57,3)</f>
        <v>4.2750000000000004</v>
      </c>
      <c r="O57" s="348">
        <f>[1]!srIx2Val(M$6,K57,4)</f>
        <v>4.6046000000000005</v>
      </c>
      <c r="P57" s="482"/>
      <c r="Q57" s="466"/>
      <c r="R57" s="466"/>
      <c r="S57" s="466"/>
    </row>
    <row r="58" spans="2:19">
      <c r="B58" s="550"/>
      <c r="C58" s="489"/>
      <c r="D58" s="535"/>
      <c r="E58" s="535"/>
      <c r="F58" s="535"/>
      <c r="G58" s="535"/>
      <c r="K58" s="35">
        <f t="shared" si="0"/>
        <v>67</v>
      </c>
      <c r="L58" s="718">
        <f>[1]!srIx2Val(M$6,K58,1)</f>
        <v>7.1065989847715746E-4</v>
      </c>
      <c r="M58" s="348">
        <f>[1]!srIx2Val(M$6,K58,2)</f>
        <v>0.34200000000000003</v>
      </c>
      <c r="N58" s="348">
        <f>[1]!srIx2Val(M$6,K58,3)</f>
        <v>4.3440000000000003</v>
      </c>
      <c r="O58" s="348">
        <f>[1]!srIx2Val(M$6,K58,4)</f>
        <v>4.6859999999999999</v>
      </c>
      <c r="P58" s="482"/>
      <c r="Q58" s="466"/>
      <c r="R58" s="466"/>
      <c r="S58" s="466"/>
    </row>
    <row r="59" spans="2:19">
      <c r="B59" s="534"/>
      <c r="C59" s="489"/>
      <c r="D59" s="535"/>
      <c r="E59" s="535"/>
      <c r="F59" s="535"/>
      <c r="G59" s="535"/>
      <c r="K59" s="35">
        <f t="shared" si="0"/>
        <v>68</v>
      </c>
      <c r="L59" s="718">
        <f>[1]!srIx2Val(M$6,K59,1)</f>
        <v>7.614213197969543E-4</v>
      </c>
      <c r="M59" s="348">
        <f>[1]!srIx2Val(M$6,K59,2)</f>
        <v>0.35399999999999998</v>
      </c>
      <c r="N59" s="348">
        <f>[1]!srIx2Val(M$6,K59,3)</f>
        <v>4.4080000000000004</v>
      </c>
      <c r="O59" s="348">
        <f>[1]!srIx2Val(M$6,K59,4)</f>
        <v>4.7620000000000005</v>
      </c>
      <c r="P59" s="482"/>
      <c r="Q59" s="466"/>
      <c r="R59" s="466"/>
      <c r="S59" s="466"/>
    </row>
    <row r="60" spans="2:19">
      <c r="B60" s="534"/>
      <c r="C60" s="489"/>
      <c r="D60" s="535"/>
      <c r="E60" s="535"/>
      <c r="F60" s="535"/>
      <c r="G60" s="535"/>
      <c r="K60" s="35">
        <f t="shared" si="0"/>
        <v>69</v>
      </c>
      <c r="L60" s="718">
        <f>[1]!srIx2Val(M$6,K60,1)</f>
        <v>8.1218274111675124E-4</v>
      </c>
      <c r="M60" s="348">
        <f>[1]!srIx2Val(M$6,K60,2)</f>
        <v>0.36559999999999998</v>
      </c>
      <c r="N60" s="348">
        <f>[1]!srIx2Val(M$6,K60,3)</f>
        <v>4.4660000000000002</v>
      </c>
      <c r="O60" s="348">
        <f>[1]!srIx2Val(M$6,K60,4)</f>
        <v>4.8315999999999999</v>
      </c>
      <c r="P60" s="482"/>
      <c r="Q60" s="466"/>
      <c r="R60" s="466"/>
      <c r="S60" s="466"/>
    </row>
    <row r="61" spans="2:19">
      <c r="B61" s="534"/>
      <c r="C61" s="489"/>
      <c r="D61" s="535"/>
      <c r="E61" s="535"/>
      <c r="F61" s="535"/>
      <c r="G61" s="535"/>
      <c r="K61" s="35">
        <f t="shared" si="0"/>
        <v>70</v>
      </c>
      <c r="L61" s="718">
        <f>[1]!srIx2Val(M$6,K61,1)</f>
        <v>8.629441624365483E-4</v>
      </c>
      <c r="M61" s="348">
        <f>[1]!srIx2Val(M$6,K61,2)</f>
        <v>0.37690000000000001</v>
      </c>
      <c r="N61" s="348">
        <f>[1]!srIx2Val(M$6,K61,3)</f>
        <v>4.5190000000000001</v>
      </c>
      <c r="O61" s="348">
        <f>[1]!srIx2Val(M$6,K61,4)</f>
        <v>4.8959000000000001</v>
      </c>
      <c r="P61" s="482"/>
      <c r="Q61" s="466"/>
      <c r="R61" s="466"/>
      <c r="S61" s="466"/>
    </row>
    <row r="62" spans="2:19">
      <c r="B62" s="534"/>
      <c r="C62" s="537"/>
      <c r="D62" s="538"/>
      <c r="E62" s="535"/>
      <c r="F62" s="535"/>
      <c r="G62" s="535"/>
      <c r="K62" s="35">
        <f t="shared" si="0"/>
        <v>71</v>
      </c>
      <c r="L62" s="718">
        <f>[1]!srIx2Val(M$6,K62,1)</f>
        <v>9.1370558375634514E-4</v>
      </c>
      <c r="M62" s="348">
        <f>[1]!srIx2Val(M$6,K62,2)</f>
        <v>0.38779999999999998</v>
      </c>
      <c r="N62" s="348">
        <f>[1]!srIx2Val(M$6,K62,3)</f>
        <v>4.5679999999999996</v>
      </c>
      <c r="O62" s="348">
        <f>[1]!srIx2Val(M$6,K62,4)</f>
        <v>4.9558</v>
      </c>
      <c r="P62" s="482"/>
      <c r="Q62" s="466"/>
      <c r="R62" s="466"/>
      <c r="S62" s="466"/>
    </row>
    <row r="63" spans="2:19">
      <c r="B63" s="534"/>
      <c r="C63" s="489"/>
      <c r="D63" s="535"/>
      <c r="E63" s="535"/>
      <c r="F63" s="535"/>
      <c r="G63" s="535"/>
      <c r="K63" s="35">
        <f t="shared" si="0"/>
        <v>72</v>
      </c>
      <c r="L63" s="718">
        <f>[1]!srIx2Val(M$6,K63,1)</f>
        <v>1.0152284263959391E-3</v>
      </c>
      <c r="M63" s="348">
        <f>[1]!srIx2Val(M$6,K63,2)</f>
        <v>0.4088</v>
      </c>
      <c r="N63" s="348">
        <f>[1]!srIx2Val(M$6,K63,3)</f>
        <v>4.6559999999999997</v>
      </c>
      <c r="O63" s="348">
        <f>[1]!srIx2Val(M$6,K63,4)</f>
        <v>5.0648</v>
      </c>
      <c r="P63" s="482"/>
      <c r="Q63" s="466"/>
      <c r="R63" s="466"/>
      <c r="S63" s="466"/>
    </row>
    <row r="64" spans="2:19">
      <c r="B64" s="534"/>
      <c r="C64" s="547"/>
      <c r="D64" s="535"/>
      <c r="E64" s="535"/>
      <c r="F64" s="535"/>
      <c r="G64" s="535"/>
      <c r="K64" s="35">
        <f t="shared" si="0"/>
        <v>73</v>
      </c>
      <c r="L64" s="718">
        <f>[1]!srIx2Val(M$6,K64,1)</f>
        <v>1.1421319796954316E-3</v>
      </c>
      <c r="M64" s="348">
        <f>[1]!srIx2Val(M$6,K64,2)</f>
        <v>0.43359999999999999</v>
      </c>
      <c r="N64" s="348">
        <f>[1]!srIx2Val(M$6,K64,3)</f>
        <v>4.7480000000000002</v>
      </c>
      <c r="O64" s="348">
        <f>[1]!srIx2Val(M$6,K64,4)</f>
        <v>5.1816000000000004</v>
      </c>
      <c r="P64" s="482"/>
      <c r="Q64" s="466"/>
      <c r="R64" s="466"/>
      <c r="S64" s="466"/>
    </row>
    <row r="65" spans="11:19">
      <c r="K65" s="35">
        <f t="shared" si="0"/>
        <v>74</v>
      </c>
      <c r="L65" s="718">
        <f>[1]!srIx2Val(M$6,K65,1)</f>
        <v>1.2690355329949238E-3</v>
      </c>
      <c r="M65" s="348">
        <f>[1]!srIx2Val(M$6,K65,2)</f>
        <v>0.45700000000000002</v>
      </c>
      <c r="N65" s="348">
        <f>[1]!srIx2Val(M$6,K65,3)</f>
        <v>4.8250000000000002</v>
      </c>
      <c r="O65" s="348">
        <f>[1]!srIx2Val(M$6,K65,4)</f>
        <v>5.282</v>
      </c>
      <c r="P65" s="482"/>
      <c r="Q65" s="466"/>
      <c r="R65" s="466"/>
      <c r="S65" s="466"/>
    </row>
    <row r="66" spans="11:19">
      <c r="K66" s="35">
        <f t="shared" si="0"/>
        <v>75</v>
      </c>
      <c r="L66" s="718">
        <f>[1]!srIx2Val(M$6,K66,1)</f>
        <v>1.3959390862944164E-3</v>
      </c>
      <c r="M66" s="348">
        <f>[1]!srIx2Val(M$6,K66,2)</f>
        <v>0.4793</v>
      </c>
      <c r="N66" s="348">
        <f>[1]!srIx2Val(M$6,K66,3)</f>
        <v>4.8890000000000002</v>
      </c>
      <c r="O66" s="348">
        <f>[1]!srIx2Val(M$6,K66,4)</f>
        <v>5.3683000000000005</v>
      </c>
      <c r="P66" s="482"/>
      <c r="Q66" s="466"/>
      <c r="R66" s="466"/>
      <c r="S66" s="466"/>
    </row>
    <row r="67" spans="11:19">
      <c r="K67" s="35">
        <f t="shared" si="0"/>
        <v>76</v>
      </c>
      <c r="L67" s="718">
        <f>[1]!srIx2Val(M$6,K67,1)</f>
        <v>1.5228426395939086E-3</v>
      </c>
      <c r="M67" s="348">
        <f>[1]!srIx2Val(M$6,K67,2)</f>
        <v>0.50070000000000003</v>
      </c>
      <c r="N67" s="348">
        <f>[1]!srIx2Val(M$6,K67,3)</f>
        <v>4.944</v>
      </c>
      <c r="O67" s="348">
        <f>[1]!srIx2Val(M$6,K67,4)</f>
        <v>5.4447000000000001</v>
      </c>
      <c r="P67" s="482"/>
      <c r="Q67" s="466"/>
      <c r="R67" s="466"/>
      <c r="S67" s="466"/>
    </row>
    <row r="68" spans="11:19">
      <c r="K68" s="35">
        <f t="shared" si="0"/>
        <v>77</v>
      </c>
      <c r="L68" s="718">
        <f>[1]!srIx2Val(M$6,K68,1)</f>
        <v>1.649746192893401E-3</v>
      </c>
      <c r="M68" s="348">
        <f>[1]!srIx2Val(M$6,K68,2)</f>
        <v>0.52110000000000001</v>
      </c>
      <c r="N68" s="348">
        <f>[1]!srIx2Val(M$6,K68,3)</f>
        <v>4.9909999999999997</v>
      </c>
      <c r="O68" s="348">
        <f>[1]!srIx2Val(M$6,K68,4)</f>
        <v>5.5120999999999993</v>
      </c>
      <c r="P68" s="482"/>
      <c r="Q68" s="466"/>
      <c r="R68" s="466"/>
      <c r="S68" s="466"/>
    </row>
    <row r="69" spans="11:19">
      <c r="K69" s="35">
        <f t="shared" si="0"/>
        <v>78</v>
      </c>
      <c r="L69" s="718">
        <f>[1]!srIx2Val(M$6,K69,1)</f>
        <v>1.7766497461928932E-3</v>
      </c>
      <c r="M69" s="348">
        <f>[1]!srIx2Val(M$6,K69,2)</f>
        <v>0.54079999999999995</v>
      </c>
      <c r="N69" s="348">
        <f>[1]!srIx2Val(M$6,K69,3)</f>
        <v>5.0309999999999997</v>
      </c>
      <c r="O69" s="348">
        <f>[1]!srIx2Val(M$6,K69,4)</f>
        <v>5.5717999999999996</v>
      </c>
      <c r="P69" s="482"/>
      <c r="Q69" s="466"/>
      <c r="R69" s="466"/>
      <c r="S69" s="466"/>
    </row>
    <row r="70" spans="11:19">
      <c r="K70" s="35">
        <f t="shared" si="0"/>
        <v>79</v>
      </c>
      <c r="L70" s="718">
        <f>[1]!srIx2Val(M$6,K70,1)</f>
        <v>1.9035532994923859E-3</v>
      </c>
      <c r="M70" s="348">
        <f>[1]!srIx2Val(M$6,K70,2)</f>
        <v>0.55979999999999996</v>
      </c>
      <c r="N70" s="348">
        <f>[1]!srIx2Val(M$6,K70,3)</f>
        <v>5.0650000000000004</v>
      </c>
      <c r="O70" s="348">
        <f>[1]!srIx2Val(M$6,K70,4)</f>
        <v>5.6248000000000005</v>
      </c>
      <c r="P70" s="482"/>
      <c r="Q70" s="466"/>
      <c r="R70" s="466"/>
      <c r="S70" s="466"/>
    </row>
    <row r="71" spans="11:19">
      <c r="K71" s="35">
        <f t="shared" si="0"/>
        <v>80</v>
      </c>
      <c r="L71" s="718">
        <f>[1]!srIx2Val(M$6,K71,1)</f>
        <v>2.0304568527918783E-3</v>
      </c>
      <c r="M71" s="348">
        <f>[1]!srIx2Val(M$6,K71,2)</f>
        <v>0.58250000000000002</v>
      </c>
      <c r="N71" s="348">
        <f>[1]!srIx2Val(M$6,K71,3)</f>
        <v>5.093</v>
      </c>
      <c r="O71" s="348">
        <f>[1]!srIx2Val(M$6,K71,4)</f>
        <v>5.6754999999999995</v>
      </c>
      <c r="P71" s="482"/>
      <c r="Q71" s="466"/>
      <c r="R71" s="466"/>
      <c r="S71" s="466"/>
    </row>
    <row r="72" spans="11:19">
      <c r="K72" s="35">
        <f t="shared" si="0"/>
        <v>81</v>
      </c>
      <c r="L72" s="718">
        <f>[1]!srIx2Val(M$6,K72,1)</f>
        <v>2.2842639593908631E-3</v>
      </c>
      <c r="M72" s="348">
        <f>[1]!srIx2Val(M$6,K72,2)</f>
        <v>0.65090000000000003</v>
      </c>
      <c r="N72" s="348">
        <f>[1]!srIx2Val(M$6,K72,3)</f>
        <v>5.1379999999999999</v>
      </c>
      <c r="O72" s="348">
        <f>[1]!srIx2Val(M$6,K72,4)</f>
        <v>5.7888999999999999</v>
      </c>
      <c r="P72" s="482"/>
      <c r="Q72" s="466"/>
      <c r="R72" s="466"/>
      <c r="S72" s="466"/>
    </row>
    <row r="73" spans="11:19">
      <c r="K73" s="35">
        <f t="shared" si="0"/>
        <v>82</v>
      </c>
      <c r="L73" s="718">
        <f>[1]!srIx2Val(M$6,K73,1)</f>
        <v>2.5380710659898475E-3</v>
      </c>
      <c r="M73" s="348">
        <f>[1]!srIx2Val(M$6,K73,2)</f>
        <v>0.71099999999999997</v>
      </c>
      <c r="N73" s="348">
        <f>[1]!srIx2Val(M$6,K73,3)</f>
        <v>5.17</v>
      </c>
      <c r="O73" s="348">
        <f>[1]!srIx2Val(M$6,K73,4)</f>
        <v>5.8810000000000002</v>
      </c>
      <c r="P73" s="482"/>
      <c r="Q73" s="466"/>
      <c r="R73" s="466"/>
      <c r="S73" s="466"/>
    </row>
    <row r="74" spans="11:19">
      <c r="K74" s="35">
        <f t="shared" si="0"/>
        <v>83</v>
      </c>
      <c r="L74" s="718">
        <f>[1]!srIx2Val(M$6,K74,1)</f>
        <v>2.7918781725888328E-3</v>
      </c>
      <c r="M74" s="348">
        <f>[1]!srIx2Val(M$6,K74,2)</f>
        <v>0.7631</v>
      </c>
      <c r="N74" s="348">
        <f>[1]!srIx2Val(M$6,K74,3)</f>
        <v>5.1909999999999998</v>
      </c>
      <c r="O74" s="348">
        <f>[1]!srIx2Val(M$6,K74,4)</f>
        <v>5.9540999999999995</v>
      </c>
      <c r="P74" s="482"/>
      <c r="Q74" s="466"/>
      <c r="R74" s="466"/>
      <c r="S74" s="466"/>
    </row>
    <row r="75" spans="11:19">
      <c r="K75" s="35">
        <f t="shared" si="0"/>
        <v>84</v>
      </c>
      <c r="L75" s="718">
        <f>[1]!srIx2Val(M$6,K75,1)</f>
        <v>3.0456852791878172E-3</v>
      </c>
      <c r="M75" s="348">
        <f>[1]!srIx2Val(M$6,K75,2)</f>
        <v>0.80789999999999995</v>
      </c>
      <c r="N75" s="348">
        <f>[1]!srIx2Val(M$6,K75,3)</f>
        <v>5.2039999999999997</v>
      </c>
      <c r="O75" s="348">
        <f>[1]!srIx2Val(M$6,K75,4)</f>
        <v>6.0118999999999998</v>
      </c>
      <c r="P75" s="482"/>
      <c r="Q75" s="466"/>
      <c r="R75" s="466"/>
      <c r="S75" s="466"/>
    </row>
    <row r="76" spans="11:19">
      <c r="K76" s="35">
        <f t="shared" si="0"/>
        <v>85</v>
      </c>
      <c r="L76" s="718">
        <f>[1]!srIx2Val(M$6,K76,1)</f>
        <v>3.299492385786802E-3</v>
      </c>
      <c r="M76" s="348">
        <f>[1]!srIx2Val(M$6,K76,2)</f>
        <v>0.84640000000000004</v>
      </c>
      <c r="N76" s="348">
        <f>[1]!srIx2Val(M$6,K76,3)</f>
        <v>5.2110000000000003</v>
      </c>
      <c r="O76" s="348">
        <f>[1]!srIx2Val(M$6,K76,4)</f>
        <v>6.0574000000000003</v>
      </c>
      <c r="P76" s="482"/>
      <c r="Q76" s="466"/>
      <c r="R76" s="466"/>
      <c r="S76" s="466"/>
    </row>
    <row r="77" spans="11:19">
      <c r="K77" s="35">
        <f t="shared" ref="K77:K140" si="1">K76+1</f>
        <v>86</v>
      </c>
      <c r="L77" s="718">
        <f>[1]!srIx2Val(M$6,K77,1)</f>
        <v>3.5532994923857864E-3</v>
      </c>
      <c r="M77" s="348">
        <f>[1]!srIx2Val(M$6,K77,2)</f>
        <v>0.87960000000000005</v>
      </c>
      <c r="N77" s="348">
        <f>[1]!srIx2Val(M$6,K77,3)</f>
        <v>5.2119999999999997</v>
      </c>
      <c r="O77" s="348">
        <f>[1]!srIx2Val(M$6,K77,4)</f>
        <v>6.0915999999999997</v>
      </c>
      <c r="P77" s="482"/>
      <c r="Q77" s="466"/>
      <c r="R77" s="466"/>
      <c r="S77" s="466"/>
    </row>
    <row r="78" spans="11:19">
      <c r="K78" s="35">
        <f t="shared" si="1"/>
        <v>87</v>
      </c>
      <c r="L78" s="718">
        <f>[1]!srIx2Val(M$6,K78,1)</f>
        <v>4.0609137055837565E-3</v>
      </c>
      <c r="M78" s="348">
        <f>[1]!srIx2Val(M$6,K78,2)</f>
        <v>0.93420000000000003</v>
      </c>
      <c r="N78" s="348">
        <f>[1]!srIx2Val(M$6,K78,3)</f>
        <v>5.202</v>
      </c>
      <c r="O78" s="348">
        <f>[1]!srIx2Val(M$6,K78,4)</f>
        <v>6.1361999999999997</v>
      </c>
      <c r="P78" s="482"/>
      <c r="Q78" s="466"/>
      <c r="R78" s="466"/>
      <c r="S78" s="466"/>
    </row>
    <row r="79" spans="11:19">
      <c r="K79" s="35">
        <f t="shared" si="1"/>
        <v>88</v>
      </c>
      <c r="L79" s="718">
        <f>[1]!srIx2Val(M$6,K79,1)</f>
        <v>4.5685279187817262E-3</v>
      </c>
      <c r="M79" s="348">
        <f>[1]!srIx2Val(M$6,K79,2)</f>
        <v>0.97789999999999999</v>
      </c>
      <c r="N79" s="348">
        <f>[1]!srIx2Val(M$6,K79,3)</f>
        <v>5.1790000000000003</v>
      </c>
      <c r="O79" s="348">
        <f>[1]!srIx2Val(M$6,K79,4)</f>
        <v>6.1569000000000003</v>
      </c>
      <c r="P79" s="482"/>
      <c r="Q79" s="466"/>
      <c r="R79" s="466"/>
      <c r="S79" s="466"/>
    </row>
    <row r="80" spans="11:19">
      <c r="K80" s="35">
        <f t="shared" si="1"/>
        <v>89</v>
      </c>
      <c r="L80" s="718">
        <f>[1]!srIx2Val(M$6,K80,1)</f>
        <v>5.076142131979695E-3</v>
      </c>
      <c r="M80" s="348">
        <f>[1]!srIx2Val(M$6,K80,2)</f>
        <v>1.0149999999999999</v>
      </c>
      <c r="N80" s="348">
        <f>[1]!srIx2Val(M$6,K80,3)</f>
        <v>5.149</v>
      </c>
      <c r="O80" s="348">
        <f>[1]!srIx2Val(M$6,K80,4)</f>
        <v>6.1639999999999997</v>
      </c>
      <c r="P80" s="482"/>
      <c r="Q80" s="466"/>
      <c r="R80" s="466"/>
      <c r="S80" s="466"/>
    </row>
    <row r="81" spans="11:19">
      <c r="K81" s="35">
        <f t="shared" si="1"/>
        <v>90</v>
      </c>
      <c r="L81" s="718">
        <f>[1]!srIx2Val(M$6,K81,1)</f>
        <v>5.5837563451776656E-3</v>
      </c>
      <c r="M81" s="348">
        <f>[1]!srIx2Val(M$6,K81,2)</f>
        <v>1.048</v>
      </c>
      <c r="N81" s="348">
        <f>[1]!srIx2Val(M$6,K81,3)</f>
        <v>5.1120000000000001</v>
      </c>
      <c r="O81" s="348">
        <f>[1]!srIx2Val(M$6,K81,4)</f>
        <v>6.16</v>
      </c>
      <c r="P81" s="482"/>
      <c r="Q81" s="466"/>
      <c r="R81" s="466"/>
      <c r="S81" s="466"/>
    </row>
    <row r="82" spans="11:19">
      <c r="K82" s="35">
        <f t="shared" si="1"/>
        <v>91</v>
      </c>
      <c r="L82" s="718">
        <f>[1]!srIx2Val(M$6,K82,1)</f>
        <v>6.0913705583756344E-3</v>
      </c>
      <c r="M82" s="348">
        <f>[1]!srIx2Val(M$6,K82,2)</f>
        <v>1.079</v>
      </c>
      <c r="N82" s="348">
        <f>[1]!srIx2Val(M$6,K82,3)</f>
        <v>5.0720000000000001</v>
      </c>
      <c r="O82" s="348">
        <f>[1]!srIx2Val(M$6,K82,4)</f>
        <v>6.1509999999999998</v>
      </c>
      <c r="P82" s="482"/>
      <c r="Q82" s="466"/>
      <c r="R82" s="466"/>
      <c r="S82" s="466"/>
    </row>
    <row r="83" spans="11:19">
      <c r="K83" s="35">
        <f t="shared" si="1"/>
        <v>92</v>
      </c>
      <c r="L83" s="718">
        <f>[1]!srIx2Val(M$6,K83,1)</f>
        <v>6.5989847715736041E-3</v>
      </c>
      <c r="M83" s="348">
        <f>[1]!srIx2Val(M$6,K83,2)</f>
        <v>1.1080000000000001</v>
      </c>
      <c r="N83" s="348">
        <f>[1]!srIx2Val(M$6,K83,3)</f>
        <v>5.0279999999999996</v>
      </c>
      <c r="O83" s="348">
        <f>[1]!srIx2Val(M$6,K83,4)</f>
        <v>6.1359999999999992</v>
      </c>
      <c r="P83" s="482"/>
      <c r="Q83" s="466"/>
      <c r="R83" s="466"/>
      <c r="S83" s="466"/>
    </row>
    <row r="84" spans="11:19">
      <c r="K84" s="35">
        <f t="shared" si="1"/>
        <v>93</v>
      </c>
      <c r="L84" s="718">
        <f>[1]!srIx2Val(M$6,K84,1)</f>
        <v>7.1065989847715729E-3</v>
      </c>
      <c r="M84" s="348">
        <f>[1]!srIx2Val(M$6,K84,2)</f>
        <v>1.1359999999999999</v>
      </c>
      <c r="N84" s="348">
        <f>[1]!srIx2Val(M$6,K84,3)</f>
        <v>4.9829999999999997</v>
      </c>
      <c r="O84" s="348">
        <f>[1]!srIx2Val(M$6,K84,4)</f>
        <v>6.1189999999999998</v>
      </c>
      <c r="P84" s="482"/>
      <c r="Q84" s="466"/>
      <c r="R84" s="466"/>
      <c r="S84" s="466"/>
    </row>
    <row r="85" spans="11:19">
      <c r="K85" s="35">
        <f t="shared" si="1"/>
        <v>94</v>
      </c>
      <c r="L85" s="718">
        <f>[1]!srIx2Val(M$6,K85,1)</f>
        <v>7.6142131979695434E-3</v>
      </c>
      <c r="M85" s="348">
        <f>[1]!srIx2Val(M$6,K85,2)</f>
        <v>1.1639999999999999</v>
      </c>
      <c r="N85" s="348">
        <f>[1]!srIx2Val(M$6,K85,3)</f>
        <v>4.9359999999999999</v>
      </c>
      <c r="O85" s="348">
        <f>[1]!srIx2Val(M$6,K85,4)</f>
        <v>6.1</v>
      </c>
      <c r="P85" s="482"/>
      <c r="Q85" s="466"/>
      <c r="R85" s="466"/>
      <c r="S85" s="466"/>
    </row>
    <row r="86" spans="11:19">
      <c r="K86" s="35">
        <f t="shared" si="1"/>
        <v>95</v>
      </c>
      <c r="L86" s="718">
        <f>[1]!srIx2Val(M$6,K86,1)</f>
        <v>8.1218274111675131E-3</v>
      </c>
      <c r="M86" s="348">
        <f>[1]!srIx2Val(M$6,K86,2)</f>
        <v>1.1919999999999999</v>
      </c>
      <c r="N86" s="348">
        <f>[1]!srIx2Val(M$6,K86,3)</f>
        <v>4.8890000000000002</v>
      </c>
      <c r="O86" s="348">
        <f>[1]!srIx2Val(M$6,K86,4)</f>
        <v>6.0810000000000004</v>
      </c>
      <c r="P86" s="482"/>
      <c r="Q86" s="466"/>
      <c r="R86" s="466"/>
      <c r="S86" s="466"/>
    </row>
    <row r="87" spans="11:19">
      <c r="K87" s="35">
        <f t="shared" si="1"/>
        <v>96</v>
      </c>
      <c r="L87" s="718">
        <f>[1]!srIx2Val(M$6,K87,1)</f>
        <v>8.6294416243654828E-3</v>
      </c>
      <c r="M87" s="348">
        <f>[1]!srIx2Val(M$6,K87,2)</f>
        <v>1.2190000000000001</v>
      </c>
      <c r="N87" s="348">
        <f>[1]!srIx2Val(M$6,K87,3)</f>
        <v>4.8410000000000002</v>
      </c>
      <c r="O87" s="348">
        <f>[1]!srIx2Val(M$6,K87,4)</f>
        <v>6.0600000000000005</v>
      </c>
      <c r="P87" s="482"/>
      <c r="Q87" s="466"/>
      <c r="R87" s="466"/>
      <c r="S87" s="466"/>
    </row>
    <row r="88" spans="11:19">
      <c r="K88" s="35">
        <f t="shared" si="1"/>
        <v>97</v>
      </c>
      <c r="L88" s="718">
        <f>[1]!srIx2Val(M$6,K88,1)</f>
        <v>9.1370558375634525E-3</v>
      </c>
      <c r="M88" s="348">
        <f>[1]!srIx2Val(M$6,K88,2)</f>
        <v>1.246</v>
      </c>
      <c r="N88" s="348">
        <f>[1]!srIx2Val(M$6,K88,3)</f>
        <v>4.7930000000000001</v>
      </c>
      <c r="O88" s="348">
        <f>[1]!srIx2Val(M$6,K88,4)</f>
        <v>6.0389999999999997</v>
      </c>
      <c r="P88" s="482"/>
      <c r="Q88" s="466"/>
      <c r="R88" s="466"/>
      <c r="S88" s="466"/>
    </row>
    <row r="89" spans="11:19">
      <c r="K89" s="35">
        <f t="shared" si="1"/>
        <v>98</v>
      </c>
      <c r="L89" s="718">
        <f>[1]!srIx2Val(M$6,K89,1)</f>
        <v>1.015228426395939E-2</v>
      </c>
      <c r="M89" s="348">
        <f>[1]!srIx2Val(M$6,K89,2)</f>
        <v>1.3</v>
      </c>
      <c r="N89" s="348">
        <f>[1]!srIx2Val(M$6,K89,3)</f>
        <v>4.6989999999999998</v>
      </c>
      <c r="O89" s="348">
        <f>[1]!srIx2Val(M$6,K89,4)</f>
        <v>5.9989999999999997</v>
      </c>
      <c r="P89" s="482"/>
      <c r="Q89" s="466"/>
      <c r="R89" s="466"/>
      <c r="S89" s="466"/>
    </row>
    <row r="90" spans="11:19">
      <c r="K90" s="35">
        <f t="shared" si="1"/>
        <v>99</v>
      </c>
      <c r="L90" s="718">
        <f>[1]!srIx2Val(M$6,K90,1)</f>
        <v>1.1421319796954314E-2</v>
      </c>
      <c r="M90" s="348">
        <f>[1]!srIx2Val(M$6,K90,2)</f>
        <v>1.365</v>
      </c>
      <c r="N90" s="348">
        <f>[1]!srIx2Val(M$6,K90,3)</f>
        <v>4.5819999999999999</v>
      </c>
      <c r="O90" s="348">
        <f>[1]!srIx2Val(M$6,K90,4)</f>
        <v>5.9470000000000001</v>
      </c>
      <c r="P90" s="482"/>
      <c r="Q90" s="466"/>
      <c r="R90" s="466"/>
      <c r="S90" s="466"/>
    </row>
    <row r="91" spans="11:19">
      <c r="K91" s="35">
        <f t="shared" si="1"/>
        <v>100</v>
      </c>
      <c r="L91" s="718">
        <f>[1]!srIx2Val(M$6,K91,1)</f>
        <v>1.2690355329949238E-2</v>
      </c>
      <c r="M91" s="348">
        <f>[1]!srIx2Val(M$6,K91,2)</f>
        <v>1.429</v>
      </c>
      <c r="N91" s="348">
        <f>[1]!srIx2Val(M$6,K91,3)</f>
        <v>4.47</v>
      </c>
      <c r="O91" s="348">
        <f>[1]!srIx2Val(M$6,K91,4)</f>
        <v>5.899</v>
      </c>
      <c r="P91" s="482"/>
      <c r="Q91" s="466"/>
      <c r="R91" s="466"/>
      <c r="S91" s="466"/>
    </row>
    <row r="92" spans="11:19">
      <c r="K92" s="35">
        <f t="shared" si="1"/>
        <v>101</v>
      </c>
      <c r="L92" s="718">
        <f>[1]!srIx2Val(M$6,K92,1)</f>
        <v>1.3959390862944163E-2</v>
      </c>
      <c r="M92" s="348">
        <f>[1]!srIx2Val(M$6,K92,2)</f>
        <v>1.49</v>
      </c>
      <c r="N92" s="348">
        <f>[1]!srIx2Val(M$6,K92,3)</f>
        <v>4.3630000000000004</v>
      </c>
      <c r="O92" s="348">
        <f>[1]!srIx2Val(M$6,K92,4)</f>
        <v>5.8530000000000006</v>
      </c>
      <c r="P92" s="482"/>
      <c r="Q92" s="466"/>
      <c r="R92" s="466"/>
      <c r="S92" s="466"/>
    </row>
    <row r="93" spans="11:19">
      <c r="K93" s="35">
        <f t="shared" si="1"/>
        <v>102</v>
      </c>
      <c r="L93" s="718">
        <f>[1]!srIx2Val(M$6,K93,1)</f>
        <v>1.5228426395939087E-2</v>
      </c>
      <c r="M93" s="348">
        <f>[1]!srIx2Val(M$6,K93,2)</f>
        <v>1.548</v>
      </c>
      <c r="N93" s="348">
        <f>[1]!srIx2Val(M$6,K93,3)</f>
        <v>4.26</v>
      </c>
      <c r="O93" s="348">
        <f>[1]!srIx2Val(M$6,K93,4)</f>
        <v>5.8079999999999998</v>
      </c>
      <c r="P93" s="482"/>
      <c r="Q93" s="466"/>
      <c r="R93" s="466"/>
      <c r="S93" s="466"/>
    </row>
    <row r="94" spans="11:19">
      <c r="K94" s="35">
        <f t="shared" si="1"/>
        <v>103</v>
      </c>
      <c r="L94" s="718">
        <f>[1]!srIx2Val(M$6,K94,1)</f>
        <v>1.6497461928934011E-2</v>
      </c>
      <c r="M94" s="348">
        <f>[1]!srIx2Val(M$6,K94,2)</f>
        <v>1.6040000000000001</v>
      </c>
      <c r="N94" s="348">
        <f>[1]!srIx2Val(M$6,K94,3)</f>
        <v>4.1619999999999999</v>
      </c>
      <c r="O94" s="348">
        <f>[1]!srIx2Val(M$6,K94,4)</f>
        <v>5.766</v>
      </c>
      <c r="P94" s="482"/>
      <c r="Q94" s="466"/>
      <c r="R94" s="466"/>
      <c r="S94" s="466"/>
    </row>
    <row r="95" spans="11:19">
      <c r="K95" s="35">
        <f t="shared" si="1"/>
        <v>104</v>
      </c>
      <c r="L95" s="718">
        <f>[1]!srIx2Val(M$6,K95,1)</f>
        <v>1.7766497461928935E-2</v>
      </c>
      <c r="M95" s="348">
        <f>[1]!srIx2Val(M$6,K95,2)</f>
        <v>1.6559999999999999</v>
      </c>
      <c r="N95" s="348">
        <f>[1]!srIx2Val(M$6,K95,3)</f>
        <v>4.069</v>
      </c>
      <c r="O95" s="348">
        <f>[1]!srIx2Val(M$6,K95,4)</f>
        <v>5.7249999999999996</v>
      </c>
      <c r="P95" s="482"/>
      <c r="Q95" s="466"/>
      <c r="R95" s="466"/>
      <c r="S95" s="466"/>
    </row>
    <row r="96" spans="11:19">
      <c r="K96" s="35">
        <f t="shared" si="1"/>
        <v>105</v>
      </c>
      <c r="L96" s="718">
        <f>[1]!srIx2Val(M$6,K96,1)</f>
        <v>1.9035532994923859E-2</v>
      </c>
      <c r="M96" s="348">
        <f>[1]!srIx2Val(M$6,K96,2)</f>
        <v>1.706</v>
      </c>
      <c r="N96" s="348">
        <f>[1]!srIx2Val(M$6,K96,3)</f>
        <v>3.98</v>
      </c>
      <c r="O96" s="348">
        <f>[1]!srIx2Val(M$6,K96,4)</f>
        <v>5.6859999999999999</v>
      </c>
      <c r="P96" s="482"/>
      <c r="Q96" s="466"/>
      <c r="R96" s="466"/>
      <c r="S96" s="466"/>
    </row>
    <row r="97" spans="11:19">
      <c r="K97" s="35">
        <f t="shared" si="1"/>
        <v>106</v>
      </c>
      <c r="L97" s="718">
        <f>[1]!srIx2Val(M$6,K97,1)</f>
        <v>2.030456852791878E-2</v>
      </c>
      <c r="M97" s="348">
        <f>[1]!srIx2Val(M$6,K97,2)</f>
        <v>1.7529999999999999</v>
      </c>
      <c r="N97" s="348">
        <f>[1]!srIx2Val(M$6,K97,3)</f>
        <v>3.895</v>
      </c>
      <c r="O97" s="348">
        <f>[1]!srIx2Val(M$6,K97,4)</f>
        <v>5.6479999999999997</v>
      </c>
      <c r="P97" s="482"/>
      <c r="Q97" s="466"/>
      <c r="R97" s="466"/>
      <c r="S97" s="466"/>
    </row>
    <row r="98" spans="11:19">
      <c r="K98" s="35">
        <f t="shared" si="1"/>
        <v>107</v>
      </c>
      <c r="L98" s="718">
        <f>[1]!srIx2Val(M$6,K98,1)</f>
        <v>2.2842639593908629E-2</v>
      </c>
      <c r="M98" s="348">
        <f>[1]!srIx2Val(M$6,K98,2)</f>
        <v>1.8380000000000001</v>
      </c>
      <c r="N98" s="348">
        <f>[1]!srIx2Val(M$6,K98,3)</f>
        <v>3.738</v>
      </c>
      <c r="O98" s="348">
        <f>[1]!srIx2Val(M$6,K98,4)</f>
        <v>5.5760000000000005</v>
      </c>
      <c r="P98" s="482"/>
      <c r="Q98" s="466"/>
      <c r="R98" s="466"/>
      <c r="S98" s="466"/>
    </row>
    <row r="99" spans="11:19">
      <c r="K99" s="35">
        <f t="shared" si="1"/>
        <v>108</v>
      </c>
      <c r="L99" s="718">
        <f>[1]!srIx2Val(M$6,K99,1)</f>
        <v>2.5380710659898477E-2</v>
      </c>
      <c r="M99" s="348">
        <f>[1]!srIx2Val(M$6,K99,2)</f>
        <v>1.9139999999999999</v>
      </c>
      <c r="N99" s="348">
        <f>[1]!srIx2Val(M$6,K99,3)</f>
        <v>3.5939999999999999</v>
      </c>
      <c r="O99" s="348">
        <f>[1]!srIx2Val(M$6,K99,4)</f>
        <v>5.508</v>
      </c>
      <c r="P99" s="482"/>
      <c r="Q99" s="466"/>
      <c r="R99" s="466"/>
      <c r="S99" s="466"/>
    </row>
    <row r="100" spans="11:19">
      <c r="K100" s="35">
        <f t="shared" si="1"/>
        <v>109</v>
      </c>
      <c r="L100" s="718">
        <f>[1]!srIx2Val(M$6,K100,1)</f>
        <v>2.7918781725888325E-2</v>
      </c>
      <c r="M100" s="348">
        <f>[1]!srIx2Val(M$6,K100,2)</f>
        <v>1.98</v>
      </c>
      <c r="N100" s="348">
        <f>[1]!srIx2Val(M$6,K100,3)</f>
        <v>3.4620000000000002</v>
      </c>
      <c r="O100" s="348">
        <f>[1]!srIx2Val(M$6,K100,4)</f>
        <v>5.4420000000000002</v>
      </c>
      <c r="P100" s="482"/>
      <c r="Q100" s="466"/>
      <c r="R100" s="466"/>
      <c r="S100" s="466"/>
    </row>
    <row r="101" spans="11:19">
      <c r="K101" s="35">
        <f t="shared" si="1"/>
        <v>110</v>
      </c>
      <c r="L101" s="718">
        <f>[1]!srIx2Val(M$6,K101,1)</f>
        <v>3.0456852791878174E-2</v>
      </c>
      <c r="M101" s="348">
        <f>[1]!srIx2Val(M$6,K101,2)</f>
        <v>2.0390000000000001</v>
      </c>
      <c r="N101" s="348">
        <f>[1]!srIx2Val(M$6,K101,3)</f>
        <v>3.3410000000000002</v>
      </c>
      <c r="O101" s="348">
        <f>[1]!srIx2Val(M$6,K101,4)</f>
        <v>5.3800000000000008</v>
      </c>
      <c r="P101" s="482"/>
      <c r="Q101" s="466"/>
      <c r="R101" s="466"/>
      <c r="S101" s="466"/>
    </row>
    <row r="102" spans="11:19">
      <c r="K102" s="35">
        <f t="shared" si="1"/>
        <v>111</v>
      </c>
      <c r="L102" s="718">
        <f>[1]!srIx2Val(M$6,K102,1)</f>
        <v>3.2994923857868022E-2</v>
      </c>
      <c r="M102" s="348">
        <f>[1]!srIx2Val(M$6,K102,2)</f>
        <v>2.093</v>
      </c>
      <c r="N102" s="348">
        <f>[1]!srIx2Val(M$6,K102,3)</f>
        <v>3.23</v>
      </c>
      <c r="O102" s="348">
        <f>[1]!srIx2Val(M$6,K102,4)</f>
        <v>5.3230000000000004</v>
      </c>
      <c r="P102" s="482"/>
      <c r="Q102" s="466"/>
      <c r="R102" s="466"/>
      <c r="S102" s="466"/>
    </row>
    <row r="103" spans="11:19">
      <c r="K103" s="35">
        <f t="shared" si="1"/>
        <v>112</v>
      </c>
      <c r="L103" s="718">
        <f>[1]!srIx2Val(M$6,K103,1)</f>
        <v>3.553299492385787E-2</v>
      </c>
      <c r="M103" s="348">
        <f>[1]!srIx2Val(M$6,K103,2)</f>
        <v>2.141</v>
      </c>
      <c r="N103" s="348">
        <f>[1]!srIx2Val(M$6,K103,3)</f>
        <v>3.1269999999999998</v>
      </c>
      <c r="O103" s="348">
        <f>[1]!srIx2Val(M$6,K103,4)</f>
        <v>5.2679999999999998</v>
      </c>
      <c r="P103" s="482"/>
      <c r="Q103" s="466"/>
      <c r="R103" s="466"/>
      <c r="S103" s="466"/>
    </row>
    <row r="104" spans="11:19">
      <c r="K104" s="35">
        <f t="shared" si="1"/>
        <v>113</v>
      </c>
      <c r="L104" s="718">
        <f>[1]!srIx2Val(M$6,K104,1)</f>
        <v>4.060913705583756E-2</v>
      </c>
      <c r="M104" s="348">
        <f>[1]!srIx2Val(M$6,K104,2)</f>
        <v>2.2280000000000002</v>
      </c>
      <c r="N104" s="348">
        <f>[1]!srIx2Val(M$6,K104,3)</f>
        <v>2.9430000000000001</v>
      </c>
      <c r="O104" s="348">
        <f>[1]!srIx2Val(M$6,K104,4)</f>
        <v>5.1710000000000003</v>
      </c>
      <c r="P104" s="482"/>
      <c r="Q104" s="466"/>
      <c r="R104" s="466"/>
      <c r="S104" s="466"/>
    </row>
    <row r="105" spans="11:19">
      <c r="K105" s="35">
        <f t="shared" si="1"/>
        <v>114</v>
      </c>
      <c r="L105" s="718">
        <f>[1]!srIx2Val(M$6,K105,1)</f>
        <v>4.5685279187817257E-2</v>
      </c>
      <c r="M105" s="348">
        <f>[1]!srIx2Val(M$6,K105,2)</f>
        <v>2.3069999999999999</v>
      </c>
      <c r="N105" s="348">
        <f>[1]!srIx2Val(M$6,K105,3)</f>
        <v>2.782</v>
      </c>
      <c r="O105" s="348">
        <f>[1]!srIx2Val(M$6,K105,4)</f>
        <v>5.0890000000000004</v>
      </c>
      <c r="P105" s="482"/>
      <c r="Q105" s="466"/>
      <c r="R105" s="466"/>
      <c r="S105" s="466"/>
    </row>
    <row r="106" spans="11:19">
      <c r="K106" s="35">
        <f t="shared" si="1"/>
        <v>115</v>
      </c>
      <c r="L106" s="718">
        <f>[1]!srIx2Val(M$6,K106,1)</f>
        <v>5.0761421319796954E-2</v>
      </c>
      <c r="M106" s="348">
        <f>[1]!srIx2Val(M$6,K106,2)</f>
        <v>2.3839999999999999</v>
      </c>
      <c r="N106" s="348">
        <f>[1]!srIx2Val(M$6,K106,3)</f>
        <v>2.641</v>
      </c>
      <c r="O106" s="348">
        <f>[1]!srIx2Val(M$6,K106,4)</f>
        <v>5.0250000000000004</v>
      </c>
      <c r="P106" s="482"/>
      <c r="Q106" s="466"/>
      <c r="R106" s="466"/>
      <c r="S106" s="466"/>
    </row>
    <row r="107" spans="11:19">
      <c r="K107" s="35">
        <f t="shared" si="1"/>
        <v>116</v>
      </c>
      <c r="L107" s="718">
        <f>[1]!srIx2Val(M$6,K107,1)</f>
        <v>5.5837563451776651E-2</v>
      </c>
      <c r="M107" s="348">
        <f>[1]!srIx2Val(M$6,K107,2)</f>
        <v>2.4609999999999999</v>
      </c>
      <c r="N107" s="348">
        <f>[1]!srIx2Val(M$6,K107,3)</f>
        <v>2.516</v>
      </c>
      <c r="O107" s="348">
        <f>[1]!srIx2Val(M$6,K107,4)</f>
        <v>4.9770000000000003</v>
      </c>
      <c r="P107" s="482"/>
      <c r="Q107" s="466"/>
      <c r="R107" s="466"/>
      <c r="S107" s="466"/>
    </row>
    <row r="108" spans="11:19">
      <c r="K108" s="35">
        <f t="shared" si="1"/>
        <v>117</v>
      </c>
      <c r="L108" s="718">
        <f>[1]!srIx2Val(M$6,K108,1)</f>
        <v>6.0913705583756347E-2</v>
      </c>
      <c r="M108" s="348">
        <f>[1]!srIx2Val(M$6,K108,2)</f>
        <v>2.5419999999999998</v>
      </c>
      <c r="N108" s="348">
        <f>[1]!srIx2Val(M$6,K108,3)</f>
        <v>2.4039999999999999</v>
      </c>
      <c r="O108" s="348">
        <f>[1]!srIx2Val(M$6,K108,4)</f>
        <v>4.9459999999999997</v>
      </c>
      <c r="P108" s="482"/>
      <c r="Q108" s="466"/>
      <c r="R108" s="466"/>
      <c r="S108" s="466"/>
    </row>
    <row r="109" spans="11:19">
      <c r="K109" s="35">
        <f t="shared" si="1"/>
        <v>118</v>
      </c>
      <c r="L109" s="718">
        <f>[1]!srIx2Val(M$6,K109,1)</f>
        <v>6.5989847715736044E-2</v>
      </c>
      <c r="M109" s="348">
        <f>[1]!srIx2Val(M$6,K109,2)</f>
        <v>2.6280000000000001</v>
      </c>
      <c r="N109" s="348">
        <f>[1]!srIx2Val(M$6,K109,3)</f>
        <v>2.3029999999999999</v>
      </c>
      <c r="O109" s="348">
        <f>[1]!srIx2Val(M$6,K109,4)</f>
        <v>4.931</v>
      </c>
      <c r="P109" s="482"/>
      <c r="Q109" s="466"/>
      <c r="R109" s="466"/>
      <c r="S109" s="466"/>
    </row>
    <row r="110" spans="11:19">
      <c r="K110" s="35">
        <f t="shared" si="1"/>
        <v>119</v>
      </c>
      <c r="L110" s="718">
        <f>[1]!srIx2Val(M$6,K110,1)</f>
        <v>7.1065989847715741E-2</v>
      </c>
      <c r="M110" s="348">
        <f>[1]!srIx2Val(M$6,K110,2)</f>
        <v>2.72</v>
      </c>
      <c r="N110" s="348">
        <f>[1]!srIx2Val(M$6,K110,3)</f>
        <v>2.2109999999999999</v>
      </c>
      <c r="O110" s="348">
        <f>[1]!srIx2Val(M$6,K110,4)</f>
        <v>4.931</v>
      </c>
      <c r="P110" s="482"/>
      <c r="Q110" s="466"/>
      <c r="R110" s="466"/>
      <c r="S110" s="466"/>
    </row>
    <row r="111" spans="11:19">
      <c r="K111" s="35">
        <f t="shared" si="1"/>
        <v>120</v>
      </c>
      <c r="L111" s="718">
        <f>[1]!srIx2Val(M$6,K111,1)</f>
        <v>7.6142131979695438E-2</v>
      </c>
      <c r="M111" s="348">
        <f>[1]!srIx2Val(M$6,K111,2)</f>
        <v>2.82</v>
      </c>
      <c r="N111" s="348">
        <f>[1]!srIx2Val(M$6,K111,3)</f>
        <v>2.1280000000000001</v>
      </c>
      <c r="O111" s="348">
        <f>[1]!srIx2Val(M$6,K111,4)</f>
        <v>4.9480000000000004</v>
      </c>
      <c r="P111" s="482"/>
      <c r="Q111" s="466"/>
      <c r="R111" s="466"/>
      <c r="S111" s="466"/>
    </row>
    <row r="112" spans="11:19">
      <c r="K112" s="35">
        <f t="shared" si="1"/>
        <v>121</v>
      </c>
      <c r="L112" s="718">
        <f>[1]!srIx2Val(M$6,K112,1)</f>
        <v>8.1218274111675121E-2</v>
      </c>
      <c r="M112" s="348">
        <f>[1]!srIx2Val(M$6,K112,2)</f>
        <v>2.9260000000000002</v>
      </c>
      <c r="N112" s="348">
        <f>[1]!srIx2Val(M$6,K112,3)</f>
        <v>2.052</v>
      </c>
      <c r="O112" s="348">
        <f>[1]!srIx2Val(M$6,K112,4)</f>
        <v>4.9779999999999998</v>
      </c>
      <c r="P112" s="482"/>
      <c r="Q112" s="466"/>
      <c r="R112" s="466"/>
      <c r="S112" s="466"/>
    </row>
    <row r="113" spans="11:19">
      <c r="K113" s="35">
        <f t="shared" si="1"/>
        <v>122</v>
      </c>
      <c r="L113" s="718">
        <f>[1]!srIx2Val(M$6,K113,1)</f>
        <v>8.6294416243654817E-2</v>
      </c>
      <c r="M113" s="348">
        <f>[1]!srIx2Val(M$6,K113,2)</f>
        <v>3.04</v>
      </c>
      <c r="N113" s="348">
        <f>[1]!srIx2Val(M$6,K113,3)</f>
        <v>1.982</v>
      </c>
      <c r="O113" s="348">
        <f>[1]!srIx2Val(M$6,K113,4)</f>
        <v>5.0220000000000002</v>
      </c>
      <c r="P113" s="482"/>
      <c r="Q113" s="466"/>
      <c r="R113" s="466"/>
      <c r="S113" s="466"/>
    </row>
    <row r="114" spans="11:19">
      <c r="K114" s="35">
        <f t="shared" si="1"/>
        <v>123</v>
      </c>
      <c r="L114" s="718">
        <f>[1]!srIx2Val(M$6,K114,1)</f>
        <v>9.1370558375634514E-2</v>
      </c>
      <c r="M114" s="348">
        <f>[1]!srIx2Val(M$6,K114,2)</f>
        <v>3.161</v>
      </c>
      <c r="N114" s="348">
        <f>[1]!srIx2Val(M$6,K114,3)</f>
        <v>1.917</v>
      </c>
      <c r="O114" s="348">
        <f>[1]!srIx2Val(M$6,K114,4)</f>
        <v>5.0780000000000003</v>
      </c>
      <c r="P114" s="482"/>
      <c r="Q114" s="466"/>
      <c r="R114" s="466"/>
      <c r="S114" s="466"/>
    </row>
    <row r="115" spans="11:19">
      <c r="K115" s="35">
        <f t="shared" si="1"/>
        <v>124</v>
      </c>
      <c r="L115" s="718">
        <f>[1]!srIx2Val(M$6,K115,1)</f>
        <v>0.10152284263959391</v>
      </c>
      <c r="M115" s="348">
        <f>[1]!srIx2Val(M$6,K115,2)</f>
        <v>3.423</v>
      </c>
      <c r="N115" s="348">
        <f>[1]!srIx2Val(M$6,K115,3)</f>
        <v>1.8009999999999999</v>
      </c>
      <c r="O115" s="348">
        <f>[1]!srIx2Val(M$6,K115,4)</f>
        <v>5.2240000000000002</v>
      </c>
      <c r="P115" s="482"/>
      <c r="Q115" s="466"/>
      <c r="R115" s="466"/>
      <c r="S115" s="466"/>
    </row>
    <row r="116" spans="11:19">
      <c r="K116" s="35">
        <f t="shared" si="1"/>
        <v>125</v>
      </c>
      <c r="L116" s="718">
        <f>[1]!srIx2Val(M$6,K116,1)</f>
        <v>0.11421319796954314</v>
      </c>
      <c r="M116" s="348">
        <f>[1]!srIx2Val(M$6,K116,2)</f>
        <v>3.786</v>
      </c>
      <c r="N116" s="348">
        <f>[1]!srIx2Val(M$6,K116,3)</f>
        <v>1.677</v>
      </c>
      <c r="O116" s="348">
        <f>[1]!srIx2Val(M$6,K116,4)</f>
        <v>5.4630000000000001</v>
      </c>
      <c r="P116" s="482"/>
      <c r="Q116" s="466"/>
      <c r="R116" s="466"/>
      <c r="S116" s="466"/>
    </row>
    <row r="117" spans="11:19">
      <c r="K117" s="35">
        <f t="shared" si="1"/>
        <v>126</v>
      </c>
      <c r="L117" s="718">
        <f>[1]!srIx2Val(M$6,K117,1)</f>
        <v>0.12690355329949238</v>
      </c>
      <c r="M117" s="348">
        <f>[1]!srIx2Val(M$6,K117,2)</f>
        <v>4.181</v>
      </c>
      <c r="N117" s="348">
        <f>[1]!srIx2Val(M$6,K117,3)</f>
        <v>1.571</v>
      </c>
      <c r="O117" s="348">
        <f>[1]!srIx2Val(M$6,K117,4)</f>
        <v>5.7519999999999998</v>
      </c>
      <c r="P117" s="482"/>
      <c r="Q117" s="466"/>
      <c r="R117" s="466"/>
      <c r="S117" s="466"/>
    </row>
    <row r="118" spans="11:19">
      <c r="K118" s="35">
        <f t="shared" si="1"/>
        <v>127</v>
      </c>
      <c r="L118" s="718">
        <f>[1]!srIx2Val(M$6,K118,1)</f>
        <v>0.13959390862944163</v>
      </c>
      <c r="M118" s="348">
        <f>[1]!srIx2Val(M$6,K118,2)</f>
        <v>4.6020000000000003</v>
      </c>
      <c r="N118" s="348">
        <f>[1]!srIx2Val(M$6,K118,3)</f>
        <v>1.48</v>
      </c>
      <c r="O118" s="348">
        <f>[1]!srIx2Val(M$6,K118,4)</f>
        <v>6.0820000000000007</v>
      </c>
      <c r="P118" s="482"/>
      <c r="Q118" s="466"/>
      <c r="R118" s="466"/>
      <c r="S118" s="466"/>
    </row>
    <row r="119" spans="11:19">
      <c r="K119" s="35">
        <f t="shared" si="1"/>
        <v>128</v>
      </c>
      <c r="L119" s="718">
        <f>[1]!srIx2Val(M$6,K119,1)</f>
        <v>0.15228426395939088</v>
      </c>
      <c r="M119" s="348">
        <f>[1]!srIx2Val(M$6,K119,2)</f>
        <v>5.0439999999999996</v>
      </c>
      <c r="N119" s="348">
        <f>[1]!srIx2Val(M$6,K119,3)</f>
        <v>1.4</v>
      </c>
      <c r="O119" s="348">
        <f>[1]!srIx2Val(M$6,K119,4)</f>
        <v>6.4439999999999991</v>
      </c>
      <c r="P119" s="482"/>
      <c r="Q119" s="466"/>
      <c r="R119" s="466"/>
      <c r="S119" s="466"/>
    </row>
    <row r="120" spans="11:19">
      <c r="K120" s="35">
        <f t="shared" si="1"/>
        <v>129</v>
      </c>
      <c r="L120" s="718">
        <f>[1]!srIx2Val(M$6,K120,1)</f>
        <v>0.1649746192893401</v>
      </c>
      <c r="M120" s="348">
        <f>[1]!srIx2Val(M$6,K120,2)</f>
        <v>5.5</v>
      </c>
      <c r="N120" s="348">
        <f>[1]!srIx2Val(M$6,K120,3)</f>
        <v>1.329</v>
      </c>
      <c r="O120" s="348">
        <f>[1]!srIx2Val(M$6,K120,4)</f>
        <v>6.8289999999999997</v>
      </c>
      <c r="P120" s="482"/>
      <c r="Q120" s="466"/>
      <c r="R120" s="466"/>
      <c r="S120" s="466"/>
    </row>
    <row r="121" spans="11:19">
      <c r="K121" s="35">
        <f t="shared" si="1"/>
        <v>130</v>
      </c>
      <c r="L121" s="718">
        <f>[1]!srIx2Val(M$6,K121,1)</f>
        <v>0.17766497461928935</v>
      </c>
      <c r="M121" s="348">
        <f>[1]!srIx2Val(M$6,K121,2)</f>
        <v>5.968</v>
      </c>
      <c r="N121" s="348">
        <f>[1]!srIx2Val(M$6,K121,3)</f>
        <v>1.266</v>
      </c>
      <c r="O121" s="348">
        <f>[1]!srIx2Val(M$6,K121,4)</f>
        <v>7.234</v>
      </c>
      <c r="P121" s="482"/>
      <c r="Q121" s="466"/>
      <c r="R121" s="466"/>
      <c r="S121" s="466"/>
    </row>
    <row r="122" spans="11:19">
      <c r="K122" s="35">
        <f t="shared" si="1"/>
        <v>131</v>
      </c>
      <c r="L122" s="718">
        <f>[1]!srIx2Val(M$6,K122,1)</f>
        <v>0.19035532994923857</v>
      </c>
      <c r="M122" s="348">
        <f>[1]!srIx2Val(M$6,K122,2)</f>
        <v>6.4420000000000002</v>
      </c>
      <c r="N122" s="348">
        <f>[1]!srIx2Val(M$6,K122,3)</f>
        <v>1.2090000000000001</v>
      </c>
      <c r="O122" s="348">
        <f>[1]!srIx2Val(M$6,K122,4)</f>
        <v>7.6509999999999998</v>
      </c>
      <c r="P122" s="482"/>
      <c r="Q122" s="466"/>
      <c r="R122" s="466"/>
      <c r="S122" s="466"/>
    </row>
    <row r="123" spans="11:19">
      <c r="K123" s="35">
        <f t="shared" si="1"/>
        <v>132</v>
      </c>
      <c r="L123" s="718">
        <f>[1]!srIx2Val(M$6,K123,1)</f>
        <v>0.20304568527918782</v>
      </c>
      <c r="M123" s="348">
        <f>[1]!srIx2Val(M$6,K123,2)</f>
        <v>6.9210000000000003</v>
      </c>
      <c r="N123" s="348">
        <f>[1]!srIx2Val(M$6,K123,3)</f>
        <v>1.1579999999999999</v>
      </c>
      <c r="O123" s="348">
        <f>[1]!srIx2Val(M$6,K123,4)</f>
        <v>8.0790000000000006</v>
      </c>
      <c r="P123" s="482"/>
      <c r="Q123" s="466"/>
      <c r="R123" s="466"/>
      <c r="S123" s="466"/>
    </row>
    <row r="124" spans="11:19">
      <c r="K124" s="35">
        <f t="shared" si="1"/>
        <v>133</v>
      </c>
      <c r="L124" s="718">
        <f>[1]!srIx2Val(M$6,K124,1)</f>
        <v>0.22842639593908629</v>
      </c>
      <c r="M124" s="348">
        <f>[1]!srIx2Val(M$6,K124,2)</f>
        <v>7.883</v>
      </c>
      <c r="N124" s="348">
        <f>[1]!srIx2Val(M$6,K124,3)</f>
        <v>1.07</v>
      </c>
      <c r="O124" s="348">
        <f>[1]!srIx2Val(M$6,K124,4)</f>
        <v>8.9529999999999994</v>
      </c>
      <c r="P124" s="482"/>
      <c r="Q124" s="466"/>
      <c r="R124" s="466"/>
      <c r="S124" s="466"/>
    </row>
    <row r="125" spans="11:19">
      <c r="K125" s="35">
        <f t="shared" si="1"/>
        <v>134</v>
      </c>
      <c r="L125" s="718">
        <f>[1]!srIx2Val(M$6,K125,1)</f>
        <v>0.25380710659898476</v>
      </c>
      <c r="M125" s="348">
        <f>[1]!srIx2Val(M$6,K125,2)</f>
        <v>8.8379999999999992</v>
      </c>
      <c r="N125" s="348">
        <f>[1]!srIx2Val(M$6,K125,3)</f>
        <v>0.995</v>
      </c>
      <c r="O125" s="348">
        <f>[1]!srIx2Val(M$6,K125,4)</f>
        <v>9.8329999999999984</v>
      </c>
      <c r="P125" s="482"/>
      <c r="Q125" s="466"/>
      <c r="R125" s="466"/>
      <c r="S125" s="466"/>
    </row>
    <row r="126" spans="11:19">
      <c r="K126" s="35">
        <f t="shared" si="1"/>
        <v>135</v>
      </c>
      <c r="L126" s="718">
        <f>[1]!srIx2Val(M$6,K126,1)</f>
        <v>0.27918781725888325</v>
      </c>
      <c r="M126" s="348">
        <f>[1]!srIx2Val(M$6,K126,2)</f>
        <v>9.7789999999999999</v>
      </c>
      <c r="N126" s="348">
        <f>[1]!srIx2Val(M$6,K126,3)</f>
        <v>0.93120000000000003</v>
      </c>
      <c r="O126" s="348">
        <f>[1]!srIx2Val(M$6,K126,4)</f>
        <v>10.7102</v>
      </c>
      <c r="P126" s="482"/>
      <c r="Q126" s="466"/>
      <c r="R126" s="466"/>
      <c r="S126" s="466"/>
    </row>
    <row r="127" spans="11:19">
      <c r="K127" s="35">
        <f t="shared" si="1"/>
        <v>136</v>
      </c>
      <c r="L127" s="718">
        <f>[1]!srIx2Val(M$6,K127,1)</f>
        <v>0.30456852791878175</v>
      </c>
      <c r="M127" s="348">
        <f>[1]!srIx2Val(M$6,K127,2)</f>
        <v>10.7</v>
      </c>
      <c r="N127" s="348">
        <f>[1]!srIx2Val(M$6,K127,3)</f>
        <v>0.876</v>
      </c>
      <c r="O127" s="348">
        <f>[1]!srIx2Val(M$6,K127,4)</f>
        <v>11.575999999999999</v>
      </c>
      <c r="P127" s="482"/>
      <c r="Q127" s="466"/>
      <c r="R127" s="466"/>
      <c r="S127" s="466"/>
    </row>
    <row r="128" spans="11:19">
      <c r="K128" s="35">
        <f t="shared" si="1"/>
        <v>137</v>
      </c>
      <c r="L128" s="718">
        <f>[1]!srIx2Val(M$6,K128,1)</f>
        <v>0.32994923857868019</v>
      </c>
      <c r="M128" s="348">
        <f>[1]!srIx2Val(M$6,K128,2)</f>
        <v>11.6</v>
      </c>
      <c r="N128" s="348">
        <f>[1]!srIx2Val(M$6,K128,3)</f>
        <v>0.82769999999999999</v>
      </c>
      <c r="O128" s="348">
        <f>[1]!srIx2Val(M$6,K128,4)</f>
        <v>12.4277</v>
      </c>
      <c r="P128" s="482"/>
      <c r="Q128" s="466"/>
      <c r="R128" s="466"/>
      <c r="S128" s="466"/>
    </row>
    <row r="129" spans="11:19">
      <c r="K129" s="35">
        <f t="shared" si="1"/>
        <v>138</v>
      </c>
      <c r="L129" s="718">
        <f>[1]!srIx2Val(M$6,K129,1)</f>
        <v>0.35532994923857869</v>
      </c>
      <c r="M129" s="348">
        <f>[1]!srIx2Val(M$6,K129,2)</f>
        <v>12.47</v>
      </c>
      <c r="N129" s="348">
        <f>[1]!srIx2Val(M$6,K129,3)</f>
        <v>0.78500000000000003</v>
      </c>
      <c r="O129" s="348">
        <f>[1]!srIx2Val(M$6,K129,4)</f>
        <v>13.255000000000001</v>
      </c>
      <c r="P129" s="482"/>
      <c r="Q129" s="466"/>
      <c r="R129" s="466"/>
      <c r="S129" s="466"/>
    </row>
    <row r="130" spans="11:19">
      <c r="K130" s="35">
        <f t="shared" si="1"/>
        <v>139</v>
      </c>
      <c r="L130" s="718">
        <f>[1]!srIx2Val(M$6,K130,1)</f>
        <v>0.40609137055837563</v>
      </c>
      <c r="M130" s="348">
        <f>[1]!srIx2Val(M$6,K130,2)</f>
        <v>14.14</v>
      </c>
      <c r="N130" s="348">
        <f>[1]!srIx2Val(M$6,K130,3)</f>
        <v>0.71289999999999998</v>
      </c>
      <c r="O130" s="348">
        <f>[1]!srIx2Val(M$6,K130,4)</f>
        <v>14.8529</v>
      </c>
      <c r="P130" s="482"/>
      <c r="Q130" s="466"/>
      <c r="R130" s="466"/>
      <c r="S130" s="466"/>
    </row>
    <row r="131" spans="11:19">
      <c r="K131" s="35">
        <f t="shared" si="1"/>
        <v>140</v>
      </c>
      <c r="L131" s="718">
        <f>[1]!srIx2Val(M$6,K131,1)</f>
        <v>0.45685279187817257</v>
      </c>
      <c r="M131" s="348">
        <f>[1]!srIx2Val(M$6,K131,2)</f>
        <v>15.69</v>
      </c>
      <c r="N131" s="348">
        <f>[1]!srIx2Val(M$6,K131,3)</f>
        <v>0.65410000000000001</v>
      </c>
      <c r="O131" s="348">
        <f>[1]!srIx2Val(M$6,K131,4)</f>
        <v>16.344100000000001</v>
      </c>
      <c r="P131" s="482"/>
      <c r="Q131" s="466"/>
      <c r="R131" s="466"/>
      <c r="S131" s="466"/>
    </row>
    <row r="132" spans="11:19">
      <c r="K132" s="35">
        <f t="shared" si="1"/>
        <v>141</v>
      </c>
      <c r="L132" s="718">
        <f>[1]!srIx2Val(M$6,K132,1)</f>
        <v>0.50761421319796951</v>
      </c>
      <c r="M132" s="348">
        <f>[1]!srIx2Val(M$6,K132,2)</f>
        <v>17.14</v>
      </c>
      <c r="N132" s="348">
        <f>[1]!srIx2Val(M$6,K132,3)</f>
        <v>0.60519999999999996</v>
      </c>
      <c r="O132" s="348">
        <f>[1]!srIx2Val(M$6,K132,4)</f>
        <v>17.745200000000001</v>
      </c>
      <c r="P132" s="482"/>
      <c r="Q132" s="466"/>
      <c r="R132" s="466"/>
      <c r="S132" s="466"/>
    </row>
    <row r="133" spans="11:19">
      <c r="K133" s="35">
        <f t="shared" si="1"/>
        <v>142</v>
      </c>
      <c r="L133" s="718">
        <f>[1]!srIx2Val(M$6,K133,1)</f>
        <v>0.55837563451776651</v>
      </c>
      <c r="M133" s="348">
        <f>[1]!srIx2Val(M$6,K133,2)</f>
        <v>18.48</v>
      </c>
      <c r="N133" s="348">
        <f>[1]!srIx2Val(M$6,K133,3)</f>
        <v>0.56379999999999997</v>
      </c>
      <c r="O133" s="348">
        <f>[1]!srIx2Val(M$6,K133,4)</f>
        <v>19.043800000000001</v>
      </c>
      <c r="P133" s="482"/>
      <c r="Q133" s="466"/>
      <c r="R133" s="466"/>
      <c r="S133" s="466"/>
    </row>
    <row r="134" spans="11:19">
      <c r="K134" s="35">
        <f t="shared" si="1"/>
        <v>143</v>
      </c>
      <c r="L134" s="718">
        <f>[1]!srIx2Val(M$6,K134,1)</f>
        <v>0.6091370558375635</v>
      </c>
      <c r="M134" s="348">
        <f>[1]!srIx2Val(M$6,K134,2)</f>
        <v>19.71</v>
      </c>
      <c r="N134" s="348">
        <f>[1]!srIx2Val(M$6,K134,3)</f>
        <v>0.5282</v>
      </c>
      <c r="O134" s="348">
        <f>[1]!srIx2Val(M$6,K134,4)</f>
        <v>20.238199999999999</v>
      </c>
      <c r="P134" s="482"/>
      <c r="Q134" s="466"/>
      <c r="R134" s="466"/>
      <c r="S134" s="466"/>
    </row>
    <row r="135" spans="11:19">
      <c r="K135" s="35">
        <f t="shared" si="1"/>
        <v>144</v>
      </c>
      <c r="L135" s="718">
        <f>[1]!srIx2Val(M$6,K135,1)</f>
        <v>0.65989847715736039</v>
      </c>
      <c r="M135" s="348">
        <f>[1]!srIx2Val(M$6,K135,2)</f>
        <v>20.86</v>
      </c>
      <c r="N135" s="348">
        <f>[1]!srIx2Val(M$6,K135,3)</f>
        <v>0.49730000000000002</v>
      </c>
      <c r="O135" s="348">
        <f>[1]!srIx2Val(M$6,K135,4)</f>
        <v>21.357299999999999</v>
      </c>
      <c r="P135" s="482"/>
      <c r="Q135" s="466"/>
      <c r="R135" s="466"/>
      <c r="S135" s="466"/>
    </row>
    <row r="136" spans="11:19">
      <c r="K136" s="35">
        <f t="shared" si="1"/>
        <v>145</v>
      </c>
      <c r="L136" s="718">
        <f>[1]!srIx2Val(M$6,K136,1)</f>
        <v>0.71065989847715738</v>
      </c>
      <c r="M136" s="348">
        <f>[1]!srIx2Val(M$6,K136,2)</f>
        <v>21.92</v>
      </c>
      <c r="N136" s="348">
        <f>[1]!srIx2Val(M$6,K136,3)</f>
        <v>0.47010000000000002</v>
      </c>
      <c r="O136" s="348">
        <f>[1]!srIx2Val(M$6,K136,4)</f>
        <v>22.3901</v>
      </c>
      <c r="P136" s="482"/>
      <c r="Q136" s="466"/>
      <c r="R136" s="466"/>
      <c r="S136" s="466"/>
    </row>
    <row r="137" spans="11:19">
      <c r="K137" s="35">
        <f t="shared" si="1"/>
        <v>146</v>
      </c>
      <c r="L137" s="718">
        <f>[1]!srIx2Val(M$6,K137,1)</f>
        <v>0.76142131979695427</v>
      </c>
      <c r="M137" s="348">
        <f>[1]!srIx2Val(M$6,K137,2)</f>
        <v>22.91</v>
      </c>
      <c r="N137" s="348">
        <f>[1]!srIx2Val(M$6,K137,3)</f>
        <v>0.44600000000000001</v>
      </c>
      <c r="O137" s="348">
        <f>[1]!srIx2Val(M$6,K137,4)</f>
        <v>23.356000000000002</v>
      </c>
      <c r="P137" s="482"/>
      <c r="Q137" s="466"/>
      <c r="R137" s="466"/>
      <c r="S137" s="466"/>
    </row>
    <row r="138" spans="11:19">
      <c r="K138" s="35">
        <f t="shared" si="1"/>
        <v>147</v>
      </c>
      <c r="L138" s="718">
        <f>[1]!srIx2Val(M$6,K138,1)</f>
        <v>0.81218274111675126</v>
      </c>
      <c r="M138" s="348">
        <f>[1]!srIx2Val(M$6,K138,2)</f>
        <v>23.82</v>
      </c>
      <c r="N138" s="348">
        <f>[1]!srIx2Val(M$6,K138,3)</f>
        <v>0.42449999999999999</v>
      </c>
      <c r="O138" s="348">
        <f>[1]!srIx2Val(M$6,K138,4)</f>
        <v>24.244499999999999</v>
      </c>
      <c r="P138" s="482"/>
      <c r="Q138" s="466"/>
      <c r="R138" s="466"/>
      <c r="S138" s="466"/>
    </row>
    <row r="139" spans="11:19">
      <c r="K139" s="35">
        <f t="shared" si="1"/>
        <v>148</v>
      </c>
      <c r="L139" s="718">
        <f>[1]!srIx2Val(M$6,K139,1)</f>
        <v>0.86294416243654826</v>
      </c>
      <c r="M139" s="348">
        <f>[1]!srIx2Val(M$6,K139,2)</f>
        <v>24.67</v>
      </c>
      <c r="N139" s="348">
        <f>[1]!srIx2Val(M$6,K139,3)</f>
        <v>0.40510000000000002</v>
      </c>
      <c r="O139" s="348">
        <f>[1]!srIx2Val(M$6,K139,4)</f>
        <v>25.075100000000003</v>
      </c>
      <c r="P139" s="482"/>
      <c r="Q139" s="466"/>
      <c r="R139" s="466"/>
      <c r="S139" s="466"/>
    </row>
    <row r="140" spans="11:19">
      <c r="K140" s="35">
        <f t="shared" si="1"/>
        <v>149</v>
      </c>
      <c r="L140" s="718">
        <f>[1]!srIx2Val(M$6,K140,1)</f>
        <v>0.91370558375634514</v>
      </c>
      <c r="M140" s="348">
        <f>[1]!srIx2Val(M$6,K140,2)</f>
        <v>25.46</v>
      </c>
      <c r="N140" s="348">
        <f>[1]!srIx2Val(M$6,K140,3)</f>
        <v>0.3876</v>
      </c>
      <c r="O140" s="348">
        <f>[1]!srIx2Val(M$6,K140,4)</f>
        <v>25.8476</v>
      </c>
      <c r="P140" s="482"/>
      <c r="Q140" s="466"/>
      <c r="R140" s="466"/>
      <c r="S140" s="466"/>
    </row>
    <row r="141" spans="11:19">
      <c r="K141" s="35">
        <f t="shared" ref="K141:K204" si="2">K140+1</f>
        <v>150</v>
      </c>
      <c r="L141" s="719">
        <f>[1]!srIx2Val(M$6,K141,1)</f>
        <v>1.015228426395939</v>
      </c>
      <c r="M141" s="348">
        <f>[1]!srIx2Val(M$6,K141,2)</f>
        <v>26.89</v>
      </c>
      <c r="N141" s="348">
        <f>[1]!srIx2Val(M$6,K141,3)</f>
        <v>0.35720000000000002</v>
      </c>
      <c r="O141" s="348">
        <f>[1]!srIx2Val(M$6,K141,4)</f>
        <v>27.247199999999999</v>
      </c>
      <c r="P141" s="482"/>
      <c r="Q141" s="466"/>
      <c r="R141" s="466"/>
      <c r="S141" s="466"/>
    </row>
    <row r="142" spans="11:19">
      <c r="K142" s="35">
        <f t="shared" si="2"/>
        <v>151</v>
      </c>
      <c r="L142" s="719">
        <f>[1]!srIx2Val(M$6,K142,1)</f>
        <v>1.1421319796954315</v>
      </c>
      <c r="M142" s="348">
        <f>[1]!srIx2Val(M$6,K142,2)</f>
        <v>28.45</v>
      </c>
      <c r="N142" s="348">
        <f>[1]!srIx2Val(M$6,K142,3)</f>
        <v>0.32579999999999998</v>
      </c>
      <c r="O142" s="348">
        <f>[1]!srIx2Val(M$6,K142,4)</f>
        <v>28.7758</v>
      </c>
      <c r="P142" s="482"/>
      <c r="Q142" s="466"/>
      <c r="R142" s="466"/>
      <c r="S142" s="466"/>
    </row>
    <row r="143" spans="11:19">
      <c r="K143" s="35">
        <f t="shared" si="2"/>
        <v>152</v>
      </c>
      <c r="L143" s="719">
        <f>[1]!srIx2Val(M$6,K143,1)</f>
        <v>1.2690355329949239</v>
      </c>
      <c r="M143" s="348">
        <f>[1]!srIx2Val(M$6,K143,2)</f>
        <v>29.79</v>
      </c>
      <c r="N143" s="348">
        <f>[1]!srIx2Val(M$6,K143,3)</f>
        <v>0.29980000000000001</v>
      </c>
      <c r="O143" s="348">
        <f>[1]!srIx2Val(M$6,K143,4)</f>
        <v>30.0898</v>
      </c>
      <c r="P143" s="482"/>
      <c r="Q143" s="466"/>
      <c r="R143" s="466"/>
      <c r="S143" s="466"/>
    </row>
    <row r="144" spans="11:19">
      <c r="K144" s="35">
        <f t="shared" si="2"/>
        <v>153</v>
      </c>
      <c r="L144" s="719">
        <f>[1]!srIx2Val(M$6,K144,1)</f>
        <v>1.3959390862944163</v>
      </c>
      <c r="M144" s="348">
        <f>[1]!srIx2Val(M$6,K144,2)</f>
        <v>30.96</v>
      </c>
      <c r="N144" s="348">
        <f>[1]!srIx2Val(M$6,K144,3)</f>
        <v>0.27810000000000001</v>
      </c>
      <c r="O144" s="348">
        <f>[1]!srIx2Val(M$6,K144,4)</f>
        <v>31.238099999999999</v>
      </c>
      <c r="P144" s="482"/>
      <c r="Q144" s="466"/>
      <c r="R144" s="466"/>
      <c r="S144" s="466"/>
    </row>
    <row r="145" spans="11:19">
      <c r="K145" s="35">
        <f t="shared" si="2"/>
        <v>154</v>
      </c>
      <c r="L145" s="719">
        <f>[1]!srIx2Val(M$6,K145,1)</f>
        <v>1.5228426395939085</v>
      </c>
      <c r="M145" s="348">
        <f>[1]!srIx2Val(M$6,K145,2)</f>
        <v>31.98</v>
      </c>
      <c r="N145" s="348">
        <f>[1]!srIx2Val(M$6,K145,3)</f>
        <v>0.25950000000000001</v>
      </c>
      <c r="O145" s="348">
        <f>[1]!srIx2Val(M$6,K145,4)</f>
        <v>32.2395</v>
      </c>
      <c r="P145" s="482"/>
      <c r="Q145" s="466"/>
      <c r="R145" s="466"/>
      <c r="S145" s="466"/>
    </row>
    <row r="146" spans="11:19">
      <c r="K146" s="35">
        <f t="shared" si="2"/>
        <v>155</v>
      </c>
      <c r="L146" s="719">
        <f>[1]!srIx2Val(M$6,K146,1)</f>
        <v>1.649746192893401</v>
      </c>
      <c r="M146" s="348">
        <f>[1]!srIx2Val(M$6,K146,2)</f>
        <v>32.89</v>
      </c>
      <c r="N146" s="348">
        <f>[1]!srIx2Val(M$6,K146,3)</f>
        <v>0.24340000000000001</v>
      </c>
      <c r="O146" s="348">
        <f>[1]!srIx2Val(M$6,K146,4)</f>
        <v>33.133400000000002</v>
      </c>
      <c r="P146" s="482"/>
      <c r="Q146" s="466"/>
      <c r="R146" s="466"/>
      <c r="S146" s="466"/>
    </row>
    <row r="147" spans="11:19">
      <c r="K147" s="35">
        <f t="shared" si="2"/>
        <v>156</v>
      </c>
      <c r="L147" s="719">
        <f>[1]!srIx2Val(M$6,K147,1)</f>
        <v>1.7766497461928934</v>
      </c>
      <c r="M147" s="348">
        <f>[1]!srIx2Val(M$6,K147,2)</f>
        <v>33.700000000000003</v>
      </c>
      <c r="N147" s="348">
        <f>[1]!srIx2Val(M$6,K147,3)</f>
        <v>0.22939999999999999</v>
      </c>
      <c r="O147" s="348">
        <f>[1]!srIx2Val(M$6,K147,4)</f>
        <v>33.929400000000001</v>
      </c>
      <c r="P147" s="482"/>
      <c r="Q147" s="466"/>
      <c r="R147" s="466"/>
      <c r="S147" s="466"/>
    </row>
    <row r="148" spans="11:19">
      <c r="K148" s="35">
        <f t="shared" si="2"/>
        <v>157</v>
      </c>
      <c r="L148" s="719">
        <f>[1]!srIx2Val(M$6,K148,1)</f>
        <v>1.9035532994923858</v>
      </c>
      <c r="M148" s="348">
        <f>[1]!srIx2Val(M$6,K148,2)</f>
        <v>34.43</v>
      </c>
      <c r="N148" s="348">
        <f>[1]!srIx2Val(M$6,K148,3)</f>
        <v>0.217</v>
      </c>
      <c r="O148" s="348">
        <f>[1]!srIx2Val(M$6,K148,4)</f>
        <v>34.646999999999998</v>
      </c>
      <c r="P148" s="482"/>
      <c r="Q148" s="466"/>
      <c r="R148" s="466"/>
      <c r="S148" s="466"/>
    </row>
    <row r="149" spans="11:19">
      <c r="K149" s="35">
        <f t="shared" si="2"/>
        <v>158</v>
      </c>
      <c r="L149" s="719">
        <f>[1]!srIx2Val(M$6,K149,1)</f>
        <v>2.030456852791878</v>
      </c>
      <c r="M149" s="348">
        <f>[1]!srIx2Val(M$6,K149,2)</f>
        <v>35.130000000000003</v>
      </c>
      <c r="N149" s="348">
        <f>[1]!srIx2Val(M$6,K149,3)</f>
        <v>0.20599999999999999</v>
      </c>
      <c r="O149" s="348">
        <f>[1]!srIx2Val(M$6,K149,4)</f>
        <v>35.336000000000006</v>
      </c>
      <c r="P149" s="482"/>
      <c r="Q149" s="466"/>
      <c r="R149" s="466"/>
      <c r="S149" s="466"/>
    </row>
    <row r="150" spans="11:19">
      <c r="K150" s="35">
        <f t="shared" si="2"/>
        <v>159</v>
      </c>
      <c r="L150" s="719">
        <f>[1]!srIx2Val(M$6,K150,1)</f>
        <v>2.2842639593908629</v>
      </c>
      <c r="M150" s="348">
        <f>[1]!srIx2Val(M$6,K150,2)</f>
        <v>36.42</v>
      </c>
      <c r="N150" s="348">
        <f>[1]!srIx2Val(M$6,K150,3)</f>
        <v>0.18720000000000001</v>
      </c>
      <c r="O150" s="348">
        <f>[1]!srIx2Val(M$6,K150,4)</f>
        <v>36.607199999999999</v>
      </c>
      <c r="P150" s="482"/>
      <c r="Q150" s="466"/>
      <c r="R150" s="466"/>
      <c r="S150" s="466"/>
    </row>
    <row r="151" spans="11:19">
      <c r="K151" s="35">
        <f t="shared" si="2"/>
        <v>160</v>
      </c>
      <c r="L151" s="719">
        <f>[1]!srIx2Val(M$6,K151,1)</f>
        <v>2.5380710659898478</v>
      </c>
      <c r="M151" s="348">
        <f>[1]!srIx2Val(M$6,K151,2)</f>
        <v>37.33</v>
      </c>
      <c r="N151" s="348">
        <f>[1]!srIx2Val(M$6,K151,3)</f>
        <v>0.17180000000000001</v>
      </c>
      <c r="O151" s="348">
        <f>[1]!srIx2Val(M$6,K151,4)</f>
        <v>37.501799999999996</v>
      </c>
      <c r="P151" s="482"/>
      <c r="Q151" s="466"/>
      <c r="R151" s="466"/>
      <c r="S151" s="466"/>
    </row>
    <row r="152" spans="11:19">
      <c r="K152" s="35">
        <f t="shared" si="2"/>
        <v>161</v>
      </c>
      <c r="L152" s="719">
        <f>[1]!srIx2Val(M$6,K152,1)</f>
        <v>2.7918781725888326</v>
      </c>
      <c r="M152" s="348">
        <f>[1]!srIx2Val(M$6,K152,2)</f>
        <v>38.119999999999997</v>
      </c>
      <c r="N152" s="348">
        <f>[1]!srIx2Val(M$6,K152,3)</f>
        <v>0.159</v>
      </c>
      <c r="O152" s="348">
        <f>[1]!srIx2Val(M$6,K152,4)</f>
        <v>38.278999999999996</v>
      </c>
      <c r="P152" s="482"/>
      <c r="Q152" s="466"/>
      <c r="R152" s="466"/>
      <c r="S152" s="466"/>
    </row>
    <row r="153" spans="11:19">
      <c r="K153" s="35">
        <f t="shared" si="2"/>
        <v>162</v>
      </c>
      <c r="L153" s="719">
        <f>[1]!srIx2Val(M$6,K153,1)</f>
        <v>3.0456852791878171</v>
      </c>
      <c r="M153" s="348">
        <f>[1]!srIx2Val(M$6,K153,2)</f>
        <v>38.79</v>
      </c>
      <c r="N153" s="348">
        <f>[1]!srIx2Val(M$6,K153,3)</f>
        <v>0.14799999999999999</v>
      </c>
      <c r="O153" s="348">
        <f>[1]!srIx2Val(M$6,K153,4)</f>
        <v>38.938000000000002</v>
      </c>
      <c r="P153" s="482"/>
      <c r="Q153" s="466"/>
      <c r="R153" s="466"/>
      <c r="S153" s="466"/>
    </row>
    <row r="154" spans="11:19">
      <c r="K154" s="35">
        <f t="shared" si="2"/>
        <v>163</v>
      </c>
      <c r="L154" s="719">
        <f>[1]!srIx2Val(M$6,K154,1)</f>
        <v>3.2994923857868019</v>
      </c>
      <c r="M154" s="348">
        <f>[1]!srIx2Val(M$6,K154,2)</f>
        <v>39.36</v>
      </c>
      <c r="N154" s="348">
        <f>[1]!srIx2Val(M$6,K154,3)</f>
        <v>0.1386</v>
      </c>
      <c r="O154" s="348">
        <f>[1]!srIx2Val(M$6,K154,4)</f>
        <v>39.498599999999996</v>
      </c>
      <c r="P154" s="482"/>
      <c r="Q154" s="466"/>
      <c r="R154" s="466"/>
      <c r="S154" s="466"/>
    </row>
    <row r="155" spans="11:19">
      <c r="K155" s="35">
        <f t="shared" si="2"/>
        <v>164</v>
      </c>
      <c r="L155" s="719">
        <f>[1]!srIx2Val(M$6,K155,1)</f>
        <v>3.5532994923857868</v>
      </c>
      <c r="M155" s="348">
        <f>[1]!srIx2Val(M$6,K155,2)</f>
        <v>39.85</v>
      </c>
      <c r="N155" s="348">
        <f>[1]!srIx2Val(M$6,K155,3)</f>
        <v>0.1303</v>
      </c>
      <c r="O155" s="348">
        <f>[1]!srIx2Val(M$6,K155,4)</f>
        <v>39.9803</v>
      </c>
      <c r="P155" s="482"/>
      <c r="Q155" s="466"/>
      <c r="R155" s="466"/>
      <c r="S155" s="466"/>
    </row>
    <row r="156" spans="11:19">
      <c r="K156" s="35">
        <f t="shared" si="2"/>
        <v>165</v>
      </c>
      <c r="L156" s="719">
        <f>[1]!srIx2Val(M$6,K156,1)</f>
        <v>4.0609137055837561</v>
      </c>
      <c r="M156" s="348">
        <f>[1]!srIx2Val(M$6,K156,2)</f>
        <v>40.659999999999997</v>
      </c>
      <c r="N156" s="348">
        <f>[1]!srIx2Val(M$6,K156,3)</f>
        <v>0.1167</v>
      </c>
      <c r="O156" s="348">
        <f>[1]!srIx2Val(M$6,K156,4)</f>
        <v>40.776699999999998</v>
      </c>
      <c r="P156" s="482"/>
      <c r="Q156" s="466"/>
      <c r="R156" s="466"/>
      <c r="S156" s="466"/>
    </row>
    <row r="157" spans="11:19">
      <c r="K157" s="35">
        <f t="shared" si="2"/>
        <v>166</v>
      </c>
      <c r="L157" s="719">
        <f>[1]!srIx2Val(M$6,K157,1)</f>
        <v>4.5685279187817258</v>
      </c>
      <c r="M157" s="348">
        <f>[1]!srIx2Val(M$6,K157,2)</f>
        <v>41.3</v>
      </c>
      <c r="N157" s="348">
        <f>[1]!srIx2Val(M$6,K157,3)</f>
        <v>0.10580000000000001</v>
      </c>
      <c r="O157" s="348">
        <f>[1]!srIx2Val(M$6,K157,4)</f>
        <v>41.405799999999999</v>
      </c>
      <c r="P157" s="482"/>
      <c r="Q157" s="466"/>
      <c r="R157" s="466"/>
      <c r="S157" s="466"/>
    </row>
    <row r="158" spans="11:19">
      <c r="K158" s="35">
        <f t="shared" si="2"/>
        <v>167</v>
      </c>
      <c r="L158" s="719">
        <f>[1]!srIx2Val(M$6,K158,1)</f>
        <v>5.0761421319796955</v>
      </c>
      <c r="M158" s="348">
        <f>[1]!srIx2Val(M$6,K158,2)</f>
        <v>41.81</v>
      </c>
      <c r="N158" s="348">
        <f>[1]!srIx2Val(M$6,K158,3)</f>
        <v>9.6879999999999994E-2</v>
      </c>
      <c r="O158" s="348">
        <f>[1]!srIx2Val(M$6,K158,4)</f>
        <v>41.906880000000001</v>
      </c>
      <c r="P158" s="482"/>
      <c r="Q158" s="466"/>
      <c r="R158" s="466"/>
      <c r="S158" s="466"/>
    </row>
    <row r="159" spans="11:19">
      <c r="K159" s="35">
        <f t="shared" si="2"/>
        <v>168</v>
      </c>
      <c r="L159" s="719">
        <f>[1]!srIx2Val(M$6,K159,1)</f>
        <v>5.5837563451776653</v>
      </c>
      <c r="M159" s="348">
        <f>[1]!srIx2Val(M$6,K159,2)</f>
        <v>42.23</v>
      </c>
      <c r="N159" s="348">
        <f>[1]!srIx2Val(M$6,K159,3)</f>
        <v>8.9440000000000006E-2</v>
      </c>
      <c r="O159" s="348">
        <f>[1]!srIx2Val(M$6,K159,4)</f>
        <v>42.31944</v>
      </c>
      <c r="P159" s="482"/>
      <c r="Q159" s="466"/>
      <c r="R159" s="466"/>
      <c r="S159" s="466"/>
    </row>
    <row r="160" spans="11:19">
      <c r="K160" s="35">
        <f t="shared" si="2"/>
        <v>169</v>
      </c>
      <c r="L160" s="719">
        <f>[1]!srIx2Val(M$6,K160,1)</f>
        <v>6.0913705583756341</v>
      </c>
      <c r="M160" s="348">
        <f>[1]!srIx2Val(M$6,K160,2)</f>
        <v>42.56</v>
      </c>
      <c r="N160" s="348">
        <f>[1]!srIx2Val(M$6,K160,3)</f>
        <v>8.3129999999999996E-2</v>
      </c>
      <c r="O160" s="348">
        <f>[1]!srIx2Val(M$6,K160,4)</f>
        <v>42.643129999999999</v>
      </c>
      <c r="P160" s="482"/>
      <c r="Q160" s="466"/>
      <c r="R160" s="466"/>
      <c r="S160" s="466"/>
    </row>
    <row r="161" spans="11:19">
      <c r="K161" s="35">
        <f t="shared" si="2"/>
        <v>170</v>
      </c>
      <c r="L161" s="719">
        <f>[1]!srIx2Val(M$6,K161,1)</f>
        <v>6.5989847715736039</v>
      </c>
      <c r="M161" s="348">
        <f>[1]!srIx2Val(M$6,K161,2)</f>
        <v>42.84</v>
      </c>
      <c r="N161" s="348">
        <f>[1]!srIx2Val(M$6,K161,3)</f>
        <v>7.7710000000000001E-2</v>
      </c>
      <c r="O161" s="348">
        <f>[1]!srIx2Val(M$6,K161,4)</f>
        <v>42.917710000000007</v>
      </c>
      <c r="P161" s="482"/>
      <c r="Q161" s="466"/>
      <c r="R161" s="466"/>
      <c r="S161" s="466"/>
    </row>
    <row r="162" spans="11:19">
      <c r="K162" s="35">
        <f t="shared" si="2"/>
        <v>171</v>
      </c>
      <c r="L162" s="719">
        <f>[1]!srIx2Val(M$6,K162,1)</f>
        <v>7.1065989847715736</v>
      </c>
      <c r="M162" s="348">
        <f>[1]!srIx2Val(M$6,K162,2)</f>
        <v>43.05</v>
      </c>
      <c r="N162" s="348">
        <f>[1]!srIx2Val(M$6,K162,3)</f>
        <v>7.2989999999999999E-2</v>
      </c>
      <c r="O162" s="348">
        <f>[1]!srIx2Val(M$6,K162,4)</f>
        <v>43.122989999999994</v>
      </c>
      <c r="P162" s="482"/>
      <c r="Q162" s="466"/>
      <c r="R162" s="466"/>
      <c r="S162" s="466"/>
    </row>
    <row r="163" spans="11:19">
      <c r="K163" s="35">
        <f t="shared" si="2"/>
        <v>172</v>
      </c>
      <c r="L163" s="719">
        <f>[1]!srIx2Val(M$6,K163,1)</f>
        <v>7.6142131979695433</v>
      </c>
      <c r="M163" s="348">
        <f>[1]!srIx2Val(M$6,K163,2)</f>
        <v>43.22</v>
      </c>
      <c r="N163" s="348">
        <f>[1]!srIx2Val(M$6,K163,3)</f>
        <v>6.8849999999999995E-2</v>
      </c>
      <c r="O163" s="348">
        <f>[1]!srIx2Val(M$6,K163,4)</f>
        <v>43.288849999999996</v>
      </c>
      <c r="P163" s="482"/>
      <c r="Q163" s="466"/>
      <c r="R163" s="466"/>
      <c r="S163" s="466"/>
    </row>
    <row r="164" spans="11:19">
      <c r="K164" s="35">
        <f t="shared" si="2"/>
        <v>173</v>
      </c>
      <c r="L164" s="719">
        <f>[1]!srIx2Val(M$6,K164,1)</f>
        <v>8.1218274111675122</v>
      </c>
      <c r="M164" s="348">
        <f>[1]!srIx2Val(M$6,K164,2)</f>
        <v>43.34</v>
      </c>
      <c r="N164" s="348">
        <f>[1]!srIx2Val(M$6,K164,3)</f>
        <v>6.5180000000000002E-2</v>
      </c>
      <c r="O164" s="348">
        <f>[1]!srIx2Val(M$6,K164,4)</f>
        <v>43.405180000000001</v>
      </c>
      <c r="P164" s="482"/>
      <c r="Q164" s="466"/>
      <c r="R164" s="466"/>
      <c r="S164" s="466"/>
    </row>
    <row r="165" spans="11:19">
      <c r="K165" s="35">
        <f t="shared" si="2"/>
        <v>174</v>
      </c>
      <c r="L165" s="719">
        <f>[1]!srIx2Val(M$6,K165,1)</f>
        <v>8.6294416243654819</v>
      </c>
      <c r="M165" s="348">
        <f>[1]!srIx2Val(M$6,K165,2)</f>
        <v>43.42</v>
      </c>
      <c r="N165" s="348">
        <f>[1]!srIx2Val(M$6,K165,3)</f>
        <v>6.191E-2</v>
      </c>
      <c r="O165" s="348">
        <f>[1]!srIx2Val(M$6,K165,4)</f>
        <v>43.481909999999999</v>
      </c>
      <c r="P165" s="482"/>
      <c r="Q165" s="466"/>
      <c r="R165" s="466"/>
      <c r="S165" s="466"/>
    </row>
    <row r="166" spans="11:19">
      <c r="K166" s="35">
        <f t="shared" si="2"/>
        <v>175</v>
      </c>
      <c r="L166" s="719">
        <f>[1]!srIx2Val(M$6,K166,1)</f>
        <v>9.1370558375634516</v>
      </c>
      <c r="M166" s="348">
        <f>[1]!srIx2Val(M$6,K166,2)</f>
        <v>43.47</v>
      </c>
      <c r="N166" s="348">
        <f>[1]!srIx2Val(M$6,K166,3)</f>
        <v>5.8970000000000002E-2</v>
      </c>
      <c r="O166" s="348">
        <f>[1]!srIx2Val(M$6,K166,4)</f>
        <v>43.528970000000001</v>
      </c>
      <c r="P166" s="482"/>
      <c r="Q166" s="466"/>
      <c r="R166" s="466"/>
      <c r="S166" s="466"/>
    </row>
    <row r="167" spans="11:19">
      <c r="K167" s="35">
        <f t="shared" si="2"/>
        <v>176</v>
      </c>
      <c r="L167" s="719">
        <f>[1]!srIx2Val(M$6,K167,1)</f>
        <v>10.152284263959391</v>
      </c>
      <c r="M167" s="348">
        <f>[1]!srIx2Val(M$6,K167,2)</f>
        <v>43.47</v>
      </c>
      <c r="N167" s="348">
        <f>[1]!srIx2Val(M$6,K167,3)</f>
        <v>5.391E-2</v>
      </c>
      <c r="O167" s="348">
        <f>[1]!srIx2Val(M$6,K167,4)</f>
        <v>43.523910000000001</v>
      </c>
      <c r="P167" s="482"/>
      <c r="Q167" s="466"/>
      <c r="R167" s="466"/>
      <c r="S167" s="466"/>
    </row>
    <row r="168" spans="11:19">
      <c r="K168" s="35">
        <f t="shared" si="2"/>
        <v>177</v>
      </c>
      <c r="L168" s="719">
        <f>[1]!srIx2Val(M$6,K168,1)</f>
        <v>11.421319796954315</v>
      </c>
      <c r="M168" s="348">
        <f>[1]!srIx2Val(M$6,K168,2)</f>
        <v>43.31</v>
      </c>
      <c r="N168" s="348">
        <f>[1]!srIx2Val(M$6,K168,3)</f>
        <v>4.8739999999999999E-2</v>
      </c>
      <c r="O168" s="348">
        <f>[1]!srIx2Val(M$6,K168,4)</f>
        <v>43.358740000000004</v>
      </c>
      <c r="P168" s="482"/>
      <c r="Q168" s="466"/>
      <c r="R168" s="466"/>
      <c r="S168" s="466"/>
    </row>
    <row r="169" spans="11:19">
      <c r="K169" s="35">
        <f t="shared" si="2"/>
        <v>178</v>
      </c>
      <c r="L169" s="719">
        <f>[1]!srIx2Val(M$6,K169,1)</f>
        <v>12.690355329949238</v>
      </c>
      <c r="M169" s="348">
        <f>[1]!srIx2Val(M$6,K169,2)</f>
        <v>43.02</v>
      </c>
      <c r="N169" s="348">
        <f>[1]!srIx2Val(M$6,K169,3)</f>
        <v>4.453E-2</v>
      </c>
      <c r="O169" s="348">
        <f>[1]!srIx2Val(M$6,K169,4)</f>
        <v>43.064530000000005</v>
      </c>
      <c r="P169" s="482"/>
      <c r="Q169" s="466"/>
      <c r="R169" s="466"/>
      <c r="S169" s="466"/>
    </row>
    <row r="170" spans="11:19">
      <c r="K170" s="35">
        <f t="shared" si="2"/>
        <v>179</v>
      </c>
      <c r="L170" s="719">
        <f>[1]!srIx2Val(M$6,K170,1)</f>
        <v>13.959390862944163</v>
      </c>
      <c r="M170" s="348">
        <f>[1]!srIx2Val(M$6,K170,2)</f>
        <v>42.61</v>
      </c>
      <c r="N170" s="348">
        <f>[1]!srIx2Val(M$6,K170,3)</f>
        <v>4.1029999999999997E-2</v>
      </c>
      <c r="O170" s="348">
        <f>[1]!srIx2Val(M$6,K170,4)</f>
        <v>42.651029999999999</v>
      </c>
      <c r="P170" s="482"/>
      <c r="Q170" s="466"/>
      <c r="R170" s="466"/>
      <c r="S170" s="466"/>
    </row>
    <row r="171" spans="11:19">
      <c r="K171" s="35">
        <f t="shared" si="2"/>
        <v>180</v>
      </c>
      <c r="L171" s="719">
        <f>[1]!srIx2Val(M$6,K171,1)</f>
        <v>15.228426395939087</v>
      </c>
      <c r="M171" s="348">
        <f>[1]!srIx2Val(M$6,K171,2)</f>
        <v>42.12</v>
      </c>
      <c r="N171" s="348">
        <f>[1]!srIx2Val(M$6,K171,3)</f>
        <v>3.8059999999999997E-2</v>
      </c>
      <c r="O171" s="348">
        <f>[1]!srIx2Val(M$6,K171,4)</f>
        <v>42.158059999999999</v>
      </c>
      <c r="P171" s="482"/>
      <c r="Q171" s="466"/>
      <c r="R171" s="466"/>
      <c r="S171" s="466"/>
    </row>
    <row r="172" spans="11:19">
      <c r="K172" s="35">
        <f t="shared" si="2"/>
        <v>181</v>
      </c>
      <c r="L172" s="719">
        <f>[1]!srIx2Val(M$6,K172,1)</f>
        <v>16.497461928934012</v>
      </c>
      <c r="M172" s="348">
        <f>[1]!srIx2Val(M$6,K172,2)</f>
        <v>41.55</v>
      </c>
      <c r="N172" s="348">
        <f>[1]!srIx2Val(M$6,K172,3)</f>
        <v>3.5520000000000003E-2</v>
      </c>
      <c r="O172" s="348">
        <f>[1]!srIx2Val(M$6,K172,4)</f>
        <v>41.585519999999995</v>
      </c>
      <c r="P172" s="482"/>
      <c r="Q172" s="466"/>
      <c r="R172" s="466"/>
      <c r="S172" s="466"/>
    </row>
    <row r="173" spans="11:19">
      <c r="K173" s="35">
        <f t="shared" si="2"/>
        <v>182</v>
      </c>
      <c r="L173" s="719">
        <f>[1]!srIx2Val(M$6,K173,1)</f>
        <v>17.766497461928935</v>
      </c>
      <c r="M173" s="348">
        <f>[1]!srIx2Val(M$6,K173,2)</f>
        <v>40.94</v>
      </c>
      <c r="N173" s="348">
        <f>[1]!srIx2Val(M$6,K173,3)</f>
        <v>3.3320000000000002E-2</v>
      </c>
      <c r="O173" s="348">
        <f>[1]!srIx2Val(M$6,K173,4)</f>
        <v>40.973320000000001</v>
      </c>
      <c r="P173" s="482"/>
      <c r="Q173" s="466"/>
      <c r="R173" s="466"/>
      <c r="S173" s="466"/>
    </row>
    <row r="174" spans="11:19">
      <c r="K174" s="35">
        <f t="shared" si="2"/>
        <v>183</v>
      </c>
      <c r="L174" s="719">
        <f>[1]!srIx2Val(M$6,K174,1)</f>
        <v>19.035532994923859</v>
      </c>
      <c r="M174" s="348">
        <f>[1]!srIx2Val(M$6,K174,2)</f>
        <v>40.299999999999997</v>
      </c>
      <c r="N174" s="348">
        <f>[1]!srIx2Val(M$6,K174,3)</f>
        <v>3.1390000000000001E-2</v>
      </c>
      <c r="O174" s="348">
        <f>[1]!srIx2Val(M$6,K174,4)</f>
        <v>40.331389999999999</v>
      </c>
      <c r="P174" s="482"/>
      <c r="Q174" s="466"/>
      <c r="R174" s="466"/>
      <c r="S174" s="466"/>
    </row>
    <row r="175" spans="11:19">
      <c r="K175" s="35">
        <f t="shared" si="2"/>
        <v>184</v>
      </c>
      <c r="L175" s="719">
        <f>[1]!srIx2Val(M$6,K175,1)</f>
        <v>20.304568527918782</v>
      </c>
      <c r="M175" s="348">
        <f>[1]!srIx2Val(M$6,K175,2)</f>
        <v>39.630000000000003</v>
      </c>
      <c r="N175" s="348">
        <f>[1]!srIx2Val(M$6,K175,3)</f>
        <v>2.9680000000000002E-2</v>
      </c>
      <c r="O175" s="348">
        <f>[1]!srIx2Val(M$6,K175,4)</f>
        <v>39.659680000000002</v>
      </c>
      <c r="P175" s="482"/>
      <c r="Q175" s="466"/>
      <c r="R175" s="466"/>
      <c r="S175" s="466"/>
    </row>
    <row r="176" spans="11:19">
      <c r="K176" s="35">
        <f t="shared" si="2"/>
        <v>185</v>
      </c>
      <c r="L176" s="719">
        <f>[1]!srIx2Val(M$6,K176,1)</f>
        <v>22.842639593908629</v>
      </c>
      <c r="M176" s="348">
        <f>[1]!srIx2Val(M$6,K176,2)</f>
        <v>38.270000000000003</v>
      </c>
      <c r="N176" s="348">
        <f>[1]!srIx2Val(M$6,K176,3)</f>
        <v>2.6790000000000001E-2</v>
      </c>
      <c r="O176" s="348">
        <f>[1]!srIx2Val(M$6,K176,4)</f>
        <v>38.296790000000001</v>
      </c>
      <c r="P176" s="482"/>
      <c r="Q176" s="466"/>
      <c r="R176" s="466"/>
      <c r="S176" s="466"/>
    </row>
    <row r="177" spans="11:19">
      <c r="K177" s="35">
        <f t="shared" si="2"/>
        <v>186</v>
      </c>
      <c r="L177" s="719">
        <f>[1]!srIx2Val(M$6,K177,1)</f>
        <v>25.380710659898476</v>
      </c>
      <c r="M177" s="348">
        <f>[1]!srIx2Val(M$6,K177,2)</f>
        <v>36.93</v>
      </c>
      <c r="N177" s="348">
        <f>[1]!srIx2Val(M$6,K177,3)</f>
        <v>2.444E-2</v>
      </c>
      <c r="O177" s="348">
        <f>[1]!srIx2Val(M$6,K177,4)</f>
        <v>36.954439999999998</v>
      </c>
      <c r="P177" s="482"/>
      <c r="Q177" s="466"/>
      <c r="R177" s="466"/>
      <c r="S177" s="466"/>
    </row>
    <row r="178" spans="11:19">
      <c r="K178" s="35">
        <f t="shared" si="2"/>
        <v>187</v>
      </c>
      <c r="L178" s="719">
        <f>[1]!srIx2Val(M$6,K178,1)</f>
        <v>27.918781725888326</v>
      </c>
      <c r="M178" s="348">
        <f>[1]!srIx2Val(M$6,K178,2)</f>
        <v>35.65</v>
      </c>
      <c r="N178" s="348">
        <f>[1]!srIx2Val(M$6,K178,3)</f>
        <v>2.249E-2</v>
      </c>
      <c r="O178" s="348">
        <f>[1]!srIx2Val(M$6,K178,4)</f>
        <v>35.672489999999996</v>
      </c>
      <c r="P178" s="482"/>
      <c r="Q178" s="466"/>
      <c r="R178" s="466"/>
      <c r="S178" s="466"/>
    </row>
    <row r="179" spans="11:19">
      <c r="K179" s="35">
        <f t="shared" si="2"/>
        <v>188</v>
      </c>
      <c r="L179" s="719">
        <f>[1]!srIx2Val(M$6,K179,1)</f>
        <v>30.456852791878173</v>
      </c>
      <c r="M179" s="348">
        <f>[1]!srIx2Val(M$6,K179,2)</f>
        <v>34.49</v>
      </c>
      <c r="N179" s="348">
        <f>[1]!srIx2Val(M$6,K179,3)</f>
        <v>2.085E-2</v>
      </c>
      <c r="O179" s="348">
        <f>[1]!srIx2Val(M$6,K179,4)</f>
        <v>34.510850000000005</v>
      </c>
      <c r="P179" s="482"/>
      <c r="Q179" s="466"/>
      <c r="R179" s="466"/>
      <c r="S179" s="466"/>
    </row>
    <row r="180" spans="11:19">
      <c r="K180" s="35">
        <f t="shared" si="2"/>
        <v>189</v>
      </c>
      <c r="L180" s="719">
        <f>[1]!srIx2Val(M$6,K180,1)</f>
        <v>32.994923857868024</v>
      </c>
      <c r="M180" s="348">
        <f>[1]!srIx2Val(M$6,K180,2)</f>
        <v>33.53</v>
      </c>
      <c r="N180" s="348">
        <f>[1]!srIx2Val(M$6,K180,3)</f>
        <v>1.9439999999999999E-2</v>
      </c>
      <c r="O180" s="348">
        <f>[1]!srIx2Val(M$6,K180,4)</f>
        <v>33.549440000000004</v>
      </c>
      <c r="P180" s="482"/>
      <c r="Q180" s="466"/>
      <c r="R180" s="466"/>
      <c r="S180" s="466"/>
    </row>
    <row r="181" spans="11:19">
      <c r="K181" s="35">
        <f t="shared" si="2"/>
        <v>190</v>
      </c>
      <c r="L181" s="719">
        <f>[1]!srIx2Val(M$6,K181,1)</f>
        <v>35.532994923857871</v>
      </c>
      <c r="M181" s="348">
        <f>[1]!srIx2Val(M$6,K181,2)</f>
        <v>32.61</v>
      </c>
      <c r="N181" s="348">
        <f>[1]!srIx2Val(M$6,K181,3)</f>
        <v>1.821E-2</v>
      </c>
      <c r="O181" s="348">
        <f>[1]!srIx2Val(M$6,K181,4)</f>
        <v>32.628210000000003</v>
      </c>
      <c r="P181" s="482"/>
      <c r="Q181" s="466"/>
      <c r="R181" s="466"/>
      <c r="S181" s="466"/>
    </row>
    <row r="182" spans="11:19">
      <c r="K182" s="35">
        <f t="shared" si="2"/>
        <v>191</v>
      </c>
      <c r="L182" s="719">
        <f>[1]!srIx2Val(M$6,K182,1)</f>
        <v>40.609137055837564</v>
      </c>
      <c r="M182" s="348">
        <f>[1]!srIx2Val(M$6,K182,2)</f>
        <v>30.92</v>
      </c>
      <c r="N182" s="348">
        <f>[1]!srIx2Val(M$6,K182,3)</f>
        <v>1.6199999999999999E-2</v>
      </c>
      <c r="O182" s="348">
        <f>[1]!srIx2Val(M$6,K182,4)</f>
        <v>30.936200000000003</v>
      </c>
      <c r="P182" s="482"/>
      <c r="Q182" s="466"/>
      <c r="R182" s="466"/>
      <c r="S182" s="466"/>
    </row>
    <row r="183" spans="11:19">
      <c r="K183" s="35">
        <f t="shared" si="2"/>
        <v>192</v>
      </c>
      <c r="L183" s="719">
        <f>[1]!srIx2Val(M$6,K183,1)</f>
        <v>45.685279187817258</v>
      </c>
      <c r="M183" s="348">
        <f>[1]!srIx2Val(M$6,K183,2)</f>
        <v>29.4</v>
      </c>
      <c r="N183" s="348">
        <f>[1]!srIx2Val(M$6,K183,3)</f>
        <v>1.46E-2</v>
      </c>
      <c r="O183" s="348">
        <f>[1]!srIx2Val(M$6,K183,4)</f>
        <v>29.4146</v>
      </c>
      <c r="P183" s="482"/>
      <c r="Q183" s="466"/>
      <c r="R183" s="466"/>
      <c r="S183" s="466"/>
    </row>
    <row r="184" spans="11:19">
      <c r="K184" s="35">
        <f t="shared" si="2"/>
        <v>193</v>
      </c>
      <c r="L184" s="719">
        <f>[1]!srIx2Val(M$6,K184,1)</f>
        <v>50.761421319796952</v>
      </c>
      <c r="M184" s="348">
        <f>[1]!srIx2Val(M$6,K184,2)</f>
        <v>28.03</v>
      </c>
      <c r="N184" s="348">
        <f>[1]!srIx2Val(M$6,K184,3)</f>
        <v>1.3310000000000001E-2</v>
      </c>
      <c r="O184" s="348">
        <f>[1]!srIx2Val(M$6,K184,4)</f>
        <v>28.043310000000002</v>
      </c>
      <c r="P184" s="482"/>
      <c r="Q184" s="466"/>
      <c r="R184" s="466"/>
      <c r="S184" s="466"/>
    </row>
    <row r="185" spans="11:19">
      <c r="K185" s="35">
        <f t="shared" si="2"/>
        <v>194</v>
      </c>
      <c r="L185" s="719">
        <f>[1]!srIx2Val(M$6,K185,1)</f>
        <v>55.837563451776653</v>
      </c>
      <c r="M185" s="348">
        <f>[1]!srIx2Val(M$6,K185,2)</f>
        <v>26.8</v>
      </c>
      <c r="N185" s="348">
        <f>[1]!srIx2Val(M$6,K185,3)</f>
        <v>1.223E-2</v>
      </c>
      <c r="O185" s="348">
        <f>[1]!srIx2Val(M$6,K185,4)</f>
        <v>26.81223</v>
      </c>
      <c r="P185" s="482"/>
      <c r="Q185" s="466"/>
      <c r="R185" s="466"/>
      <c r="S185" s="466"/>
    </row>
    <row r="186" spans="11:19">
      <c r="K186" s="35">
        <f t="shared" si="2"/>
        <v>195</v>
      </c>
      <c r="L186" s="719">
        <f>[1]!srIx2Val(M$6,K186,1)</f>
        <v>60.913705583756347</v>
      </c>
      <c r="M186" s="348">
        <f>[1]!srIx2Val(M$6,K186,2)</f>
        <v>25.69</v>
      </c>
      <c r="N186" s="348">
        <f>[1]!srIx2Val(M$6,K186,3)</f>
        <v>1.133E-2</v>
      </c>
      <c r="O186" s="348">
        <f>[1]!srIx2Val(M$6,K186,4)</f>
        <v>25.701330000000002</v>
      </c>
      <c r="P186" s="482"/>
      <c r="Q186" s="466"/>
      <c r="R186" s="466"/>
      <c r="S186" s="466"/>
    </row>
    <row r="187" spans="11:19">
      <c r="K187" s="35">
        <f t="shared" si="2"/>
        <v>196</v>
      </c>
      <c r="L187" s="719">
        <f>[1]!srIx2Val(M$6,K187,1)</f>
        <v>65.989847715736047</v>
      </c>
      <c r="M187" s="348">
        <f>[1]!srIx2Val(M$6,K187,2)</f>
        <v>24.69</v>
      </c>
      <c r="N187" s="348">
        <f>[1]!srIx2Val(M$6,K187,3)</f>
        <v>1.055E-2</v>
      </c>
      <c r="O187" s="348">
        <f>[1]!srIx2Val(M$6,K187,4)</f>
        <v>24.70055</v>
      </c>
      <c r="P187" s="482"/>
      <c r="Q187" s="466"/>
      <c r="R187" s="466"/>
      <c r="S187" s="466"/>
    </row>
    <row r="188" spans="11:19">
      <c r="K188" s="35">
        <f t="shared" si="2"/>
        <v>197</v>
      </c>
      <c r="L188" s="719">
        <f>[1]!srIx2Val(M$6,K188,1)</f>
        <v>71.065989847715741</v>
      </c>
      <c r="M188" s="348">
        <f>[1]!srIx2Val(M$6,K188,2)</f>
        <v>23.77</v>
      </c>
      <c r="N188" s="348">
        <f>[1]!srIx2Val(M$6,K188,3)</f>
        <v>9.8829999999999994E-3</v>
      </c>
      <c r="O188" s="348">
        <f>[1]!srIx2Val(M$6,K188,4)</f>
        <v>23.779882999999998</v>
      </c>
      <c r="P188" s="482"/>
      <c r="Q188" s="466"/>
      <c r="R188" s="466"/>
      <c r="S188" s="466"/>
    </row>
    <row r="189" spans="11:19">
      <c r="K189" s="35">
        <f t="shared" si="2"/>
        <v>198</v>
      </c>
      <c r="L189" s="719">
        <f>[1]!srIx2Val(M$6,K189,1)</f>
        <v>76.142131979695435</v>
      </c>
      <c r="M189" s="348">
        <f>[1]!srIx2Val(M$6,K189,2)</f>
        <v>22.94</v>
      </c>
      <c r="N189" s="348">
        <f>[1]!srIx2Val(M$6,K189,3)</f>
        <v>9.2960000000000004E-3</v>
      </c>
      <c r="O189" s="348">
        <f>[1]!srIx2Val(M$6,K189,4)</f>
        <v>22.949296</v>
      </c>
      <c r="P189" s="482"/>
      <c r="Q189" s="466"/>
      <c r="R189" s="466"/>
      <c r="S189" s="466"/>
    </row>
    <row r="190" spans="11:19">
      <c r="K190" s="35">
        <f t="shared" si="2"/>
        <v>199</v>
      </c>
      <c r="L190" s="719">
        <f>[1]!srIx2Val(M$6,K190,1)</f>
        <v>81.218274111675129</v>
      </c>
      <c r="M190" s="348">
        <f>[1]!srIx2Val(M$6,K190,2)</f>
        <v>22.17</v>
      </c>
      <c r="N190" s="348">
        <f>[1]!srIx2Val(M$6,K190,3)</f>
        <v>8.7779999999999993E-3</v>
      </c>
      <c r="O190" s="348">
        <f>[1]!srIx2Val(M$6,K190,4)</f>
        <v>22.178778000000001</v>
      </c>
      <c r="P190" s="482"/>
      <c r="Q190" s="466"/>
      <c r="R190" s="466"/>
      <c r="S190" s="466"/>
    </row>
    <row r="191" spans="11:19">
      <c r="K191" s="35">
        <f t="shared" si="2"/>
        <v>200</v>
      </c>
      <c r="L191" s="719">
        <f>[1]!srIx2Val(M$6,K191,1)</f>
        <v>86.294416243654823</v>
      </c>
      <c r="M191" s="348">
        <f>[1]!srIx2Val(M$6,K191,2)</f>
        <v>21.47</v>
      </c>
      <c r="N191" s="348">
        <f>[1]!srIx2Val(M$6,K191,3)</f>
        <v>8.3169999999999997E-3</v>
      </c>
      <c r="O191" s="348">
        <f>[1]!srIx2Val(M$6,K191,4)</f>
        <v>21.478317000000001</v>
      </c>
      <c r="P191" s="482"/>
      <c r="Q191" s="466"/>
      <c r="R191" s="466"/>
      <c r="S191" s="466"/>
    </row>
    <row r="192" spans="11:19">
      <c r="K192" s="35">
        <f t="shared" si="2"/>
        <v>201</v>
      </c>
      <c r="L192" s="719">
        <f>[1]!srIx2Val(M$6,K192,1)</f>
        <v>91.370558375634516</v>
      </c>
      <c r="M192" s="348">
        <f>[1]!srIx2Val(M$6,K192,2)</f>
        <v>20.82</v>
      </c>
      <c r="N192" s="348">
        <f>[1]!srIx2Val(M$6,K192,3)</f>
        <v>7.9050000000000006E-3</v>
      </c>
      <c r="O192" s="348">
        <f>[1]!srIx2Val(M$6,K192,4)</f>
        <v>20.827905000000001</v>
      </c>
      <c r="P192" s="482"/>
      <c r="Q192" s="466"/>
      <c r="R192" s="466"/>
      <c r="S192" s="466"/>
    </row>
    <row r="193" spans="11:19">
      <c r="K193" s="35">
        <f t="shared" si="2"/>
        <v>202</v>
      </c>
      <c r="L193" s="245">
        <f>[1]!srIx2Val(M$6,K193,1)</f>
        <v>101.5228426395939</v>
      </c>
      <c r="M193" s="348">
        <f>[1]!srIx2Val(M$6,K193,2)</f>
        <v>19.670000000000002</v>
      </c>
      <c r="N193" s="348">
        <f>[1]!srIx2Val(M$6,K193,3)</f>
        <v>7.1970000000000003E-3</v>
      </c>
      <c r="O193" s="348">
        <f>[1]!srIx2Val(M$6,K193,4)</f>
        <v>19.677197000000003</v>
      </c>
      <c r="P193" s="482"/>
      <c r="Q193" s="466"/>
      <c r="R193" s="466"/>
      <c r="S193" s="466"/>
    </row>
    <row r="194" spans="11:19">
      <c r="K194" s="35">
        <f t="shared" si="2"/>
        <v>203</v>
      </c>
      <c r="L194" s="245">
        <f>[1]!srIx2Val(M$6,K194,1)</f>
        <v>114.21319796954315</v>
      </c>
      <c r="M194" s="348">
        <f>[1]!srIx2Val(M$6,K194,2)</f>
        <v>18.440000000000001</v>
      </c>
      <c r="N194" s="348">
        <f>[1]!srIx2Val(M$6,K194,3)</f>
        <v>6.4790000000000004E-3</v>
      </c>
      <c r="O194" s="348">
        <f>[1]!srIx2Val(M$6,K194,4)</f>
        <v>18.446479</v>
      </c>
      <c r="P194" s="482"/>
      <c r="Q194" s="466"/>
      <c r="R194" s="466"/>
      <c r="S194" s="466"/>
    </row>
    <row r="195" spans="11:19">
      <c r="K195" s="35">
        <f t="shared" si="2"/>
        <v>204</v>
      </c>
      <c r="L195" s="245">
        <f>[1]!srIx2Val(M$6,K195,1)</f>
        <v>126.90355329949239</v>
      </c>
      <c r="M195" s="348">
        <f>[1]!srIx2Val(M$6,K195,2)</f>
        <v>17.399999999999999</v>
      </c>
      <c r="N195" s="348">
        <f>[1]!srIx2Val(M$6,K195,3)</f>
        <v>5.8970000000000003E-3</v>
      </c>
      <c r="O195" s="348">
        <f>[1]!srIx2Val(M$6,K195,4)</f>
        <v>17.405897</v>
      </c>
      <c r="P195" s="482"/>
      <c r="Q195" s="466"/>
      <c r="R195" s="466"/>
      <c r="S195" s="466"/>
    </row>
    <row r="196" spans="11:19">
      <c r="K196" s="35">
        <f t="shared" si="2"/>
        <v>205</v>
      </c>
      <c r="L196" s="245">
        <f>[1]!srIx2Val(M$6,K196,1)</f>
        <v>139.59390862944161</v>
      </c>
      <c r="M196" s="348">
        <f>[1]!srIx2Val(M$6,K196,2)</f>
        <v>16.52</v>
      </c>
      <c r="N196" s="348">
        <f>[1]!srIx2Val(M$6,K196,3)</f>
        <v>5.4149999999999997E-3</v>
      </c>
      <c r="O196" s="348">
        <f>[1]!srIx2Val(M$6,K196,4)</f>
        <v>16.525414999999999</v>
      </c>
      <c r="P196" s="482"/>
      <c r="Q196" s="466"/>
      <c r="R196" s="466"/>
      <c r="S196" s="466"/>
    </row>
    <row r="197" spans="11:19">
      <c r="K197" s="35">
        <f t="shared" si="2"/>
        <v>206</v>
      </c>
      <c r="L197" s="245">
        <f>[1]!srIx2Val(M$6,K197,1)</f>
        <v>152.28426395939087</v>
      </c>
      <c r="M197" s="348">
        <f>[1]!srIx2Val(M$6,K197,2)</f>
        <v>15.75</v>
      </c>
      <c r="N197" s="348">
        <f>[1]!srIx2Val(M$6,K197,3)</f>
        <v>5.0090000000000004E-3</v>
      </c>
      <c r="O197" s="348">
        <f>[1]!srIx2Val(M$6,K197,4)</f>
        <v>15.755008999999999</v>
      </c>
      <c r="P197" s="482"/>
      <c r="Q197" s="466"/>
      <c r="R197" s="466"/>
      <c r="S197" s="466"/>
    </row>
    <row r="198" spans="11:19">
      <c r="K198" s="35">
        <f t="shared" si="2"/>
        <v>207</v>
      </c>
      <c r="L198" s="245">
        <f>[1]!srIx2Val(M$6,K198,1)</f>
        <v>164.9746192893401</v>
      </c>
      <c r="M198" s="348">
        <f>[1]!srIx2Val(M$6,K198,2)</f>
        <v>15.08</v>
      </c>
      <c r="N198" s="348">
        <f>[1]!srIx2Val(M$6,K198,3)</f>
        <v>4.6620000000000003E-3</v>
      </c>
      <c r="O198" s="348">
        <f>[1]!srIx2Val(M$6,K198,4)</f>
        <v>15.084662</v>
      </c>
      <c r="P198" s="482"/>
      <c r="Q198" s="466"/>
      <c r="R198" s="466"/>
      <c r="S198" s="466"/>
    </row>
    <row r="199" spans="11:19">
      <c r="K199" s="35">
        <f t="shared" si="2"/>
        <v>208</v>
      </c>
      <c r="L199" s="245">
        <f>[1]!srIx2Val(M$6,K199,1)</f>
        <v>177.66497461928935</v>
      </c>
      <c r="M199" s="348">
        <f>[1]!srIx2Val(M$6,K199,2)</f>
        <v>14.49</v>
      </c>
      <c r="N199" s="348">
        <f>[1]!srIx2Val(M$6,K199,3)</f>
        <v>4.3620000000000004E-3</v>
      </c>
      <c r="O199" s="348">
        <f>[1]!srIx2Val(M$6,K199,4)</f>
        <v>14.494362000000001</v>
      </c>
      <c r="P199" s="482"/>
      <c r="Q199" s="466"/>
      <c r="R199" s="466"/>
      <c r="S199" s="466"/>
    </row>
    <row r="200" spans="11:19">
      <c r="K200" s="35">
        <f t="shared" si="2"/>
        <v>209</v>
      </c>
      <c r="L200" s="245">
        <f>[1]!srIx2Val(M$6,K200,1)</f>
        <v>190.35532994923858</v>
      </c>
      <c r="M200" s="348">
        <f>[1]!srIx2Val(M$6,K200,2)</f>
        <v>13.96</v>
      </c>
      <c r="N200" s="348">
        <f>[1]!srIx2Val(M$6,K200,3)</f>
        <v>4.1000000000000003E-3</v>
      </c>
      <c r="O200" s="348">
        <f>[1]!srIx2Val(M$6,K200,4)</f>
        <v>13.9641</v>
      </c>
      <c r="P200" s="482"/>
      <c r="Q200" s="466"/>
      <c r="R200" s="466"/>
      <c r="S200" s="466"/>
    </row>
    <row r="201" spans="11:19">
      <c r="K201" s="35">
        <f t="shared" si="2"/>
        <v>210</v>
      </c>
      <c r="L201" s="245">
        <f>[1]!srIx2Val(M$6,K201,1)</f>
        <v>203.04568527918781</v>
      </c>
      <c r="M201" s="348">
        <f>[1]!srIx2Val(M$6,K201,2)</f>
        <v>13.5</v>
      </c>
      <c r="N201" s="348">
        <f>[1]!srIx2Val(M$6,K201,3)</f>
        <v>3.869E-3</v>
      </c>
      <c r="O201" s="348">
        <f>[1]!srIx2Val(M$6,K201,4)</f>
        <v>13.503869</v>
      </c>
      <c r="P201" s="482"/>
      <c r="Q201" s="466"/>
      <c r="R201" s="466"/>
      <c r="S201" s="466"/>
    </row>
    <row r="202" spans="11:19">
      <c r="K202" s="35">
        <f t="shared" si="2"/>
        <v>211</v>
      </c>
      <c r="L202" s="245">
        <f>[1]!srIx2Val(M$6,K202,1)</f>
        <v>228.42639593908629</v>
      </c>
      <c r="M202" s="348">
        <f>[1]!srIx2Val(M$6,K202,2)</f>
        <v>12.7</v>
      </c>
      <c r="N202" s="348">
        <f>[1]!srIx2Val(M$6,K202,3)</f>
        <v>3.48E-3</v>
      </c>
      <c r="O202" s="348">
        <f>[1]!srIx2Val(M$6,K202,4)</f>
        <v>12.703479999999999</v>
      </c>
      <c r="P202" s="482"/>
      <c r="Q202" s="466"/>
      <c r="R202" s="466"/>
      <c r="S202" s="466"/>
    </row>
    <row r="203" spans="11:19">
      <c r="K203" s="35">
        <f t="shared" si="2"/>
        <v>212</v>
      </c>
      <c r="L203" s="245">
        <f>[1]!srIx2Val(M$6,K203,1)</f>
        <v>253.80710659898477</v>
      </c>
      <c r="M203" s="348">
        <f>[1]!srIx2Val(M$6,K203,2)</f>
        <v>12.04</v>
      </c>
      <c r="N203" s="348">
        <f>[1]!srIx2Val(M$6,K203,3)</f>
        <v>3.1649999999999998E-3</v>
      </c>
      <c r="O203" s="348">
        <f>[1]!srIx2Val(M$6,K203,4)</f>
        <v>12.043164999999998</v>
      </c>
      <c r="P203" s="482"/>
      <c r="Q203" s="466"/>
      <c r="R203" s="466"/>
      <c r="S203" s="466"/>
    </row>
    <row r="204" spans="11:19">
      <c r="K204" s="35">
        <f t="shared" si="2"/>
        <v>213</v>
      </c>
      <c r="L204" s="245">
        <f>[1]!srIx2Val(M$6,K204,1)</f>
        <v>279.18781725888323</v>
      </c>
      <c r="M204" s="348">
        <f>[1]!srIx2Val(M$6,K204,2)</f>
        <v>11.49</v>
      </c>
      <c r="N204" s="348">
        <f>[1]!srIx2Val(M$6,K204,3)</f>
        <v>2.9039999999999999E-3</v>
      </c>
      <c r="O204" s="348">
        <f>[1]!srIx2Val(M$6,K204,4)</f>
        <v>11.492903999999999</v>
      </c>
      <c r="P204" s="482"/>
      <c r="Q204" s="466"/>
      <c r="R204" s="466"/>
      <c r="S204" s="466"/>
    </row>
    <row r="205" spans="11:19">
      <c r="K205" s="35">
        <f t="shared" ref="K205:K219" si="3">K204+1</f>
        <v>214</v>
      </c>
      <c r="L205" s="245">
        <f>[1]!srIx2Val(M$6,K205,1)</f>
        <v>304.56852791878174</v>
      </c>
      <c r="M205" s="348">
        <f>[1]!srIx2Val(M$6,K205,2)</f>
        <v>11.03</v>
      </c>
      <c r="N205" s="348">
        <f>[1]!srIx2Val(M$6,K205,3)</f>
        <v>2.6849999999999999E-3</v>
      </c>
      <c r="O205" s="348">
        <f>[1]!srIx2Val(M$6,K205,4)</f>
        <v>11.032684999999999</v>
      </c>
      <c r="P205" s="482"/>
      <c r="Q205" s="466"/>
      <c r="R205" s="466"/>
      <c r="S205" s="466"/>
    </row>
    <row r="206" spans="11:19">
      <c r="K206" s="35">
        <f t="shared" si="3"/>
        <v>215</v>
      </c>
      <c r="L206" s="245">
        <f>[1]!srIx2Val(M$6,K206,1)</f>
        <v>329.94923857868019</v>
      </c>
      <c r="M206" s="348">
        <f>[1]!srIx2Val(M$6,K206,2)</f>
        <v>10.63</v>
      </c>
      <c r="N206" s="348">
        <f>[1]!srIx2Val(M$6,K206,3)</f>
        <v>2.4970000000000001E-3</v>
      </c>
      <c r="O206" s="348">
        <f>[1]!srIx2Val(M$6,K206,4)</f>
        <v>10.632497000000001</v>
      </c>
      <c r="P206" s="482"/>
      <c r="Q206" s="466"/>
      <c r="R206" s="466"/>
      <c r="S206" s="466"/>
    </row>
    <row r="207" spans="11:19">
      <c r="K207" s="35">
        <f t="shared" si="3"/>
        <v>216</v>
      </c>
      <c r="L207" s="245">
        <f>[1]!srIx2Val(M$6,K207,1)</f>
        <v>355.32994923857871</v>
      </c>
      <c r="M207" s="348">
        <f>[1]!srIx2Val(M$6,K207,2)</f>
        <v>10.29</v>
      </c>
      <c r="N207" s="348">
        <f>[1]!srIx2Val(M$6,K207,3)</f>
        <v>2.336E-3</v>
      </c>
      <c r="O207" s="348">
        <f>[1]!srIx2Val(M$6,K207,4)</f>
        <v>10.292335999999999</v>
      </c>
      <c r="P207" s="482"/>
      <c r="Q207" s="466"/>
      <c r="R207" s="466"/>
      <c r="S207" s="466"/>
    </row>
    <row r="208" spans="11:19">
      <c r="K208" s="35">
        <f t="shared" si="3"/>
        <v>217</v>
      </c>
      <c r="L208" s="245">
        <f>[1]!srIx2Val(M$6,K208,1)</f>
        <v>406.09137055837562</v>
      </c>
      <c r="M208" s="348">
        <f>[1]!srIx2Val(M$6,K208,2)</f>
        <v>9.7200000000000006</v>
      </c>
      <c r="N208" s="348">
        <f>[1]!srIx2Val(M$6,K208,3)</f>
        <v>2.0699999999999998E-3</v>
      </c>
      <c r="O208" s="348">
        <f>[1]!srIx2Val(M$6,K208,4)</f>
        <v>9.7220700000000004</v>
      </c>
      <c r="P208" s="482"/>
      <c r="Q208" s="466"/>
      <c r="R208" s="466"/>
      <c r="S208" s="466"/>
    </row>
    <row r="209" spans="11:19">
      <c r="K209" s="35">
        <f t="shared" si="3"/>
        <v>218</v>
      </c>
      <c r="L209" s="245">
        <f>[1]!srIx2Val(M$6,K209,1)</f>
        <v>456.85279187817258</v>
      </c>
      <c r="M209" s="348">
        <f>[1]!srIx2Val(M$6,K209,2)</f>
        <v>9.2759999999999998</v>
      </c>
      <c r="N209" s="348">
        <f>[1]!srIx2Val(M$6,K209,3)</f>
        <v>1.8600000000000001E-3</v>
      </c>
      <c r="O209" s="348">
        <f>[1]!srIx2Val(M$6,K209,4)</f>
        <v>9.2778600000000004</v>
      </c>
      <c r="P209" s="482"/>
      <c r="Q209" s="466"/>
      <c r="R209" s="466"/>
      <c r="S209" s="466"/>
    </row>
    <row r="210" spans="11:19">
      <c r="K210" s="35">
        <f t="shared" si="3"/>
        <v>219</v>
      </c>
      <c r="L210" s="245">
        <f>[1]!srIx2Val(M$6,K210,1)</f>
        <v>507.61421319796955</v>
      </c>
      <c r="M210" s="348">
        <f>[1]!srIx2Val(M$6,K210,2)</f>
        <v>8.9220000000000006</v>
      </c>
      <c r="N210" s="348">
        <f>[1]!srIx2Val(M$6,K210,3)</f>
        <v>1.6900000000000001E-3</v>
      </c>
      <c r="O210" s="348">
        <f>[1]!srIx2Val(M$6,K210,4)</f>
        <v>8.9236900000000006</v>
      </c>
      <c r="P210" s="482"/>
      <c r="Q210" s="466"/>
      <c r="R210" s="466"/>
      <c r="S210" s="466"/>
    </row>
    <row r="211" spans="11:19">
      <c r="K211" s="35">
        <f t="shared" si="3"/>
        <v>220</v>
      </c>
      <c r="L211" s="245">
        <f>[1]!srIx2Val(M$6,K211,1)</f>
        <v>558.37563451776646</v>
      </c>
      <c r="M211" s="348">
        <f>[1]!srIx2Val(M$6,K211,2)</f>
        <v>8.6359999999999992</v>
      </c>
      <c r="N211" s="348">
        <f>[1]!srIx2Val(M$6,K211,3)</f>
        <v>1.5499999999999999E-3</v>
      </c>
      <c r="O211" s="348">
        <f>[1]!srIx2Val(M$6,K211,4)</f>
        <v>8.6375499999999992</v>
      </c>
      <c r="P211" s="482"/>
      <c r="Q211" s="466"/>
      <c r="R211" s="466"/>
      <c r="S211" s="466"/>
    </row>
    <row r="212" spans="11:19">
      <c r="K212" s="35">
        <f t="shared" si="3"/>
        <v>221</v>
      </c>
      <c r="L212" s="245">
        <f>[1]!srIx2Val(M$6,K212,1)</f>
        <v>609.13705583756348</v>
      </c>
      <c r="M212" s="348">
        <f>[1]!srIx2Val(M$6,K212,2)</f>
        <v>8.4</v>
      </c>
      <c r="N212" s="348">
        <f>[1]!srIx2Val(M$6,K212,3)</f>
        <v>1.4319999999999999E-3</v>
      </c>
      <c r="O212" s="348">
        <f>[1]!srIx2Val(M$6,K212,4)</f>
        <v>8.4014319999999998</v>
      </c>
      <c r="P212" s="482"/>
      <c r="Q212" s="466"/>
      <c r="R212" s="466"/>
      <c r="S212" s="466"/>
    </row>
    <row r="213" spans="11:19">
      <c r="K213" s="35">
        <f t="shared" si="3"/>
        <v>222</v>
      </c>
      <c r="L213" s="245">
        <f>[1]!srIx2Val(M$6,K213,1)</f>
        <v>659.89847715736039</v>
      </c>
      <c r="M213" s="348">
        <f>[1]!srIx2Val(M$6,K213,2)</f>
        <v>8.2040000000000006</v>
      </c>
      <c r="N213" s="348">
        <f>[1]!srIx2Val(M$6,K213,3)</f>
        <v>1.3320000000000001E-3</v>
      </c>
      <c r="O213" s="348">
        <f>[1]!srIx2Val(M$6,K213,4)</f>
        <v>8.2053320000000003</v>
      </c>
      <c r="P213" s="482"/>
      <c r="Q213" s="466"/>
      <c r="R213" s="466"/>
      <c r="S213" s="466"/>
    </row>
    <row r="214" spans="11:19">
      <c r="K214" s="35">
        <f t="shared" si="3"/>
        <v>223</v>
      </c>
      <c r="L214" s="245">
        <f>[1]!srIx2Val(M$6,K214,1)</f>
        <v>710.65989847715741</v>
      </c>
      <c r="M214" s="348">
        <f>[1]!srIx2Val(M$6,K214,2)</f>
        <v>8.0399999999999991</v>
      </c>
      <c r="N214" s="348">
        <f>[1]!srIx2Val(M$6,K214,3)</f>
        <v>1.245E-3</v>
      </c>
      <c r="O214" s="348">
        <f>[1]!srIx2Val(M$6,K214,4)</f>
        <v>8.041245</v>
      </c>
      <c r="P214" s="482"/>
      <c r="Q214" s="466"/>
      <c r="R214" s="466"/>
      <c r="S214" s="466"/>
    </row>
    <row r="215" spans="11:19">
      <c r="K215" s="35">
        <f t="shared" si="3"/>
        <v>224</v>
      </c>
      <c r="L215" s="245">
        <f>[1]!srIx2Val(M$6,K215,1)</f>
        <v>761.42131979695432</v>
      </c>
      <c r="M215" s="348">
        <f>[1]!srIx2Val(M$6,K215,2)</f>
        <v>7.9009999999999998</v>
      </c>
      <c r="N215" s="348">
        <f>[1]!srIx2Val(M$6,K215,3)</f>
        <v>1.1689999999999999E-3</v>
      </c>
      <c r="O215" s="348">
        <f>[1]!srIx2Val(M$6,K215,4)</f>
        <v>7.9021689999999998</v>
      </c>
      <c r="P215" s="482"/>
      <c r="Q215" s="466"/>
      <c r="R215" s="466"/>
      <c r="S215" s="466"/>
    </row>
    <row r="216" spans="11:19">
      <c r="K216" s="35">
        <f t="shared" si="3"/>
        <v>225</v>
      </c>
      <c r="L216" s="245">
        <f>[1]!srIx2Val(M$6,K216,1)</f>
        <v>812.18274111675123</v>
      </c>
      <c r="M216" s="348">
        <f>[1]!srIx2Val(M$6,K216,2)</f>
        <v>7.7830000000000004</v>
      </c>
      <c r="N216" s="348">
        <f>[1]!srIx2Val(M$6,K216,3)</f>
        <v>1.1019999999999999E-3</v>
      </c>
      <c r="O216" s="348">
        <f>[1]!srIx2Val(M$6,K216,4)</f>
        <v>7.7841020000000007</v>
      </c>
      <c r="P216" s="482"/>
      <c r="Q216" s="466"/>
      <c r="R216" s="466"/>
      <c r="S216" s="466"/>
    </row>
    <row r="217" spans="11:19">
      <c r="K217" s="35">
        <f t="shared" si="3"/>
        <v>226</v>
      </c>
      <c r="L217" s="245">
        <f>[1]!srIx2Val(M$6,K217,1)</f>
        <v>862.94416243654825</v>
      </c>
      <c r="M217" s="348">
        <f>[1]!srIx2Val(M$6,K217,2)</f>
        <v>7.681</v>
      </c>
      <c r="N217" s="348">
        <f>[1]!srIx2Val(M$6,K217,3)</f>
        <v>1.0430000000000001E-3</v>
      </c>
      <c r="O217" s="348">
        <f>[1]!srIx2Val(M$6,K217,4)</f>
        <v>7.6820430000000002</v>
      </c>
      <c r="P217" s="482"/>
      <c r="Q217" s="466"/>
      <c r="R217" s="466"/>
      <c r="S217" s="466"/>
    </row>
    <row r="218" spans="11:19">
      <c r="K218" s="35">
        <f t="shared" si="3"/>
        <v>227</v>
      </c>
      <c r="L218" s="245">
        <f>[1]!srIx2Val(M$6,K218,1)</f>
        <v>913.70558375634516</v>
      </c>
      <c r="M218" s="348">
        <f>[1]!srIx2Val(M$6,K218,2)</f>
        <v>7.5940000000000003</v>
      </c>
      <c r="N218" s="348">
        <f>[1]!srIx2Val(M$6,K218,3)</f>
        <v>9.8999999999999999E-4</v>
      </c>
      <c r="O218" s="348">
        <f>[1]!srIx2Val(M$6,K218,4)</f>
        <v>7.5949900000000001</v>
      </c>
      <c r="P218" s="482"/>
      <c r="Q218" s="466"/>
      <c r="R218" s="466"/>
      <c r="S218" s="466"/>
    </row>
    <row r="219" spans="11:19">
      <c r="K219" s="35">
        <f t="shared" si="3"/>
        <v>228</v>
      </c>
      <c r="L219" s="245">
        <f>[1]!srIx2Val(M$6,K219,1)</f>
        <v>1000</v>
      </c>
      <c r="M219" s="348">
        <f>[1]!srIx2Val(M$6,K219,2)</f>
        <v>7.4749999999999996</v>
      </c>
      <c r="N219" s="348">
        <f>[1]!srIx2Val(M$6,K219,3)</f>
        <v>9.1169999999999999E-4</v>
      </c>
      <c r="O219" s="348">
        <f>[1]!srIx2Val(M$6,K219,4)</f>
        <v>7.4759116999999993</v>
      </c>
      <c r="P219" s="482"/>
      <c r="Q219" s="466"/>
      <c r="R219" s="466"/>
      <c r="S219" s="466"/>
    </row>
    <row r="220" spans="11:19">
      <c r="K220" s="35"/>
    </row>
    <row r="221" spans="11:19">
      <c r="K221" s="35"/>
    </row>
    <row r="222" spans="11:19">
      <c r="K222" s="35"/>
    </row>
    <row r="223" spans="11:19">
      <c r="K223" s="35"/>
    </row>
    <row r="224" spans="11:19">
      <c r="K224" s="35"/>
    </row>
    <row r="225" spans="11:11">
      <c r="K225" s="35"/>
    </row>
    <row r="226" spans="11:11">
      <c r="K226" s="35"/>
    </row>
    <row r="227" spans="11:11">
      <c r="K227" s="35"/>
    </row>
    <row r="228" spans="11:11">
      <c r="K228" s="35"/>
    </row>
    <row r="229" spans="11:11">
      <c r="K229" s="35"/>
    </row>
    <row r="230" spans="11:11">
      <c r="K230" s="35"/>
    </row>
    <row r="231" spans="11:11">
      <c r="K231" s="35"/>
    </row>
    <row r="232" spans="11:11">
      <c r="K232" s="35"/>
    </row>
    <row r="233" spans="11:11">
      <c r="K233" s="35"/>
    </row>
    <row r="234" spans="11:11">
      <c r="K234" s="35"/>
    </row>
    <row r="235" spans="11:11">
      <c r="K235" s="35"/>
    </row>
    <row r="236" spans="11:11">
      <c r="K236" s="35"/>
    </row>
    <row r="237" spans="11:11">
      <c r="K237" s="35"/>
    </row>
    <row r="238" spans="11:11">
      <c r="K238" s="35"/>
    </row>
    <row r="239" spans="11:11">
      <c r="K239" s="35"/>
    </row>
    <row r="240" spans="11:11">
      <c r="K240" s="35"/>
    </row>
    <row r="241" spans="11:11">
      <c r="K241" s="35"/>
    </row>
    <row r="242" spans="11:11">
      <c r="K242" s="35"/>
    </row>
    <row r="243" spans="11:11">
      <c r="K243" s="35"/>
    </row>
    <row r="244" spans="11:11">
      <c r="K244" s="35"/>
    </row>
    <row r="245" spans="11:11">
      <c r="K245" s="35"/>
    </row>
    <row r="246" spans="11:11">
      <c r="K246" s="35"/>
    </row>
    <row r="247" spans="11:11">
      <c r="K247" s="35"/>
    </row>
    <row r="248" spans="11:11">
      <c r="K248" s="35"/>
    </row>
    <row r="249" spans="11:11">
      <c r="K249" s="35"/>
    </row>
    <row r="250" spans="11:11">
      <c r="K250" s="35"/>
    </row>
    <row r="251" spans="11:11">
      <c r="K251" s="35"/>
    </row>
    <row r="252" spans="11:11">
      <c r="K252" s="35"/>
    </row>
    <row r="253" spans="11:11">
      <c r="K253" s="35"/>
    </row>
    <row r="254" spans="11:11">
      <c r="K254" s="35"/>
    </row>
    <row r="255" spans="11:11">
      <c r="K255" s="35"/>
    </row>
    <row r="256" spans="11:11">
      <c r="K256" s="35"/>
    </row>
    <row r="257" spans="11:11">
      <c r="K257" s="35"/>
    </row>
    <row r="258" spans="11:11">
      <c r="K258" s="35"/>
    </row>
    <row r="259" spans="11:11">
      <c r="K259" s="35"/>
    </row>
    <row r="260" spans="11:11">
      <c r="K260" s="35"/>
    </row>
    <row r="261" spans="11:11">
      <c r="K261" s="35"/>
    </row>
    <row r="262" spans="11:11">
      <c r="K262" s="35"/>
    </row>
    <row r="263" spans="11:11">
      <c r="K263" s="35"/>
    </row>
    <row r="264" spans="11:11">
      <c r="K264" s="35"/>
    </row>
    <row r="265" spans="11:11">
      <c r="K265" s="35"/>
    </row>
    <row r="266" spans="11:11">
      <c r="K266" s="35"/>
    </row>
    <row r="267" spans="11:11">
      <c r="K267" s="35"/>
    </row>
    <row r="268" spans="11:11">
      <c r="K268" s="35"/>
    </row>
    <row r="269" spans="11:11">
      <c r="K269" s="35"/>
    </row>
    <row r="270" spans="11:11">
      <c r="K270" s="35"/>
    </row>
    <row r="271" spans="11:11">
      <c r="K271" s="35"/>
    </row>
    <row r="272" spans="11:11">
      <c r="K272" s="35"/>
    </row>
    <row r="273" spans="11:11">
      <c r="K273" s="35"/>
    </row>
    <row r="274" spans="11:11">
      <c r="K274" s="35"/>
    </row>
    <row r="275" spans="11:11">
      <c r="K275" s="35"/>
    </row>
    <row r="276" spans="11:11">
      <c r="K276" s="35"/>
    </row>
    <row r="277" spans="11:11">
      <c r="K277" s="35"/>
    </row>
    <row r="278" spans="11:11">
      <c r="K278" s="35"/>
    </row>
    <row r="279" spans="11:11">
      <c r="K279" s="35"/>
    </row>
    <row r="280" spans="11:11">
      <c r="K280" s="35"/>
    </row>
    <row r="281" spans="11:11">
      <c r="K281" s="35"/>
    </row>
    <row r="282" spans="11:11">
      <c r="K282" s="35"/>
    </row>
    <row r="283" spans="11:11">
      <c r="K283" s="35"/>
    </row>
    <row r="284" spans="11:11">
      <c r="K284" s="35"/>
    </row>
    <row r="285" spans="11:11">
      <c r="K285" s="35"/>
    </row>
    <row r="286" spans="11:11">
      <c r="K286" s="35"/>
    </row>
    <row r="287" spans="11:11">
      <c r="K287" s="35"/>
    </row>
    <row r="288" spans="11:11">
      <c r="K288" s="35"/>
    </row>
    <row r="289" spans="11:11">
      <c r="K289" s="35"/>
    </row>
    <row r="290" spans="11:11">
      <c r="K290" s="35"/>
    </row>
    <row r="291" spans="11:11">
      <c r="K291" s="35"/>
    </row>
    <row r="292" spans="11:11">
      <c r="K292" s="35"/>
    </row>
    <row r="293" spans="11:11">
      <c r="K293" s="35"/>
    </row>
    <row r="294" spans="11:11">
      <c r="K294" s="35"/>
    </row>
    <row r="295" spans="11:11">
      <c r="K295" s="35"/>
    </row>
    <row r="296" spans="11:11">
      <c r="K296" s="35"/>
    </row>
    <row r="297" spans="11:11">
      <c r="K297" s="35"/>
    </row>
    <row r="298" spans="11:11">
      <c r="K298" s="35"/>
    </row>
    <row r="299" spans="11:11">
      <c r="K299" s="35"/>
    </row>
    <row r="300" spans="11:11">
      <c r="K300" s="35"/>
    </row>
    <row r="301" spans="11:11">
      <c r="K301" s="35"/>
    </row>
    <row r="302" spans="11:11">
      <c r="K302" s="35"/>
    </row>
    <row r="303" spans="11:11">
      <c r="K303" s="35"/>
    </row>
    <row r="304" spans="11:11">
      <c r="K304" s="35"/>
    </row>
    <row r="305" spans="11:11">
      <c r="K305" s="35"/>
    </row>
    <row r="306" spans="11:11">
      <c r="K306" s="35"/>
    </row>
    <row r="307" spans="11:11">
      <c r="K307" s="35"/>
    </row>
    <row r="308" spans="11:11">
      <c r="K308" s="35"/>
    </row>
    <row r="309" spans="11:11">
      <c r="K309" s="35"/>
    </row>
    <row r="310" spans="11:11">
      <c r="K310" s="35"/>
    </row>
    <row r="311" spans="11:11">
      <c r="K311" s="35"/>
    </row>
    <row r="312" spans="11:11">
      <c r="K312" s="35"/>
    </row>
    <row r="313" spans="11:11">
      <c r="K313" s="35"/>
    </row>
    <row r="314" spans="11:11">
      <c r="K314" s="35"/>
    </row>
    <row r="315" spans="11:11">
      <c r="K315" s="35"/>
    </row>
    <row r="316" spans="11:11">
      <c r="K316" s="35"/>
    </row>
    <row r="317" spans="11:11">
      <c r="K317" s="35"/>
    </row>
    <row r="318" spans="11:11">
      <c r="K318" s="35"/>
    </row>
    <row r="319" spans="11:11">
      <c r="K319" s="35"/>
    </row>
    <row r="320" spans="11:11">
      <c r="K320" s="35"/>
    </row>
    <row r="321" spans="11:11">
      <c r="K321" s="35"/>
    </row>
    <row r="322" spans="11:11">
      <c r="K322" s="35"/>
    </row>
    <row r="323" spans="11:11">
      <c r="K323" s="35"/>
    </row>
    <row r="324" spans="11:11">
      <c r="K324" s="35"/>
    </row>
    <row r="325" spans="11:11">
      <c r="K325" s="35"/>
    </row>
    <row r="326" spans="11:11">
      <c r="K326" s="35"/>
    </row>
    <row r="327" spans="11:11">
      <c r="K327" s="35"/>
    </row>
    <row r="328" spans="11:11">
      <c r="K328" s="35"/>
    </row>
    <row r="329" spans="11:11">
      <c r="K329" s="35"/>
    </row>
    <row r="330" spans="11:11">
      <c r="K330" s="35"/>
    </row>
    <row r="331" spans="11:11">
      <c r="K331" s="35"/>
    </row>
    <row r="332" spans="11:11">
      <c r="K332" s="35"/>
    </row>
    <row r="333" spans="11:11">
      <c r="K333" s="35"/>
    </row>
    <row r="334" spans="11:11">
      <c r="K334" s="35"/>
    </row>
    <row r="335" spans="11:11">
      <c r="K335" s="35"/>
    </row>
    <row r="336" spans="11:11">
      <c r="K336" s="35"/>
    </row>
    <row r="337" spans="11:11">
      <c r="K337" s="35"/>
    </row>
    <row r="338" spans="11:11">
      <c r="K338" s="35"/>
    </row>
    <row r="339" spans="11:11">
      <c r="K339" s="35"/>
    </row>
    <row r="340" spans="11:11">
      <c r="K340" s="35"/>
    </row>
    <row r="341" spans="11:11">
      <c r="K341" s="35"/>
    </row>
    <row r="342" spans="11:11">
      <c r="K342" s="35"/>
    </row>
    <row r="343" spans="11:11">
      <c r="K343" s="35"/>
    </row>
    <row r="344" spans="11:11">
      <c r="K344" s="35"/>
    </row>
    <row r="345" spans="11:11">
      <c r="K345" s="35"/>
    </row>
    <row r="346" spans="11:11">
      <c r="K346" s="35"/>
    </row>
    <row r="347" spans="11:11">
      <c r="K347" s="35"/>
    </row>
    <row r="348" spans="11:11">
      <c r="K348" s="35"/>
    </row>
    <row r="349" spans="11:11">
      <c r="K349" s="35"/>
    </row>
    <row r="350" spans="11:11">
      <c r="K350" s="35"/>
    </row>
    <row r="351" spans="11:11">
      <c r="K351" s="35"/>
    </row>
    <row r="352" spans="11:11">
      <c r="K352" s="35"/>
    </row>
    <row r="353" spans="11:11">
      <c r="K353" s="35"/>
    </row>
    <row r="354" spans="11:11">
      <c r="K354" s="35"/>
    </row>
    <row r="355" spans="11:11">
      <c r="K355" s="35"/>
    </row>
    <row r="356" spans="11:11">
      <c r="K356" s="35"/>
    </row>
    <row r="357" spans="11:11">
      <c r="K357" s="35"/>
    </row>
    <row r="358" spans="11:11">
      <c r="K358" s="35"/>
    </row>
    <row r="359" spans="11:11">
      <c r="K359" s="35"/>
    </row>
    <row r="360" spans="11:11">
      <c r="K360" s="35"/>
    </row>
    <row r="361" spans="11:11">
      <c r="K361" s="35"/>
    </row>
    <row r="362" spans="11:11">
      <c r="K362" s="35"/>
    </row>
    <row r="363" spans="11:11">
      <c r="K363" s="35"/>
    </row>
    <row r="364" spans="11:11">
      <c r="K364" s="35"/>
    </row>
    <row r="365" spans="11:11">
      <c r="K365" s="35"/>
    </row>
    <row r="366" spans="11:11">
      <c r="K366" s="35"/>
    </row>
    <row r="367" spans="11:11">
      <c r="K367" s="35"/>
    </row>
    <row r="368" spans="11:11">
      <c r="K368" s="35"/>
    </row>
    <row r="369" spans="11:11">
      <c r="K369" s="35"/>
    </row>
    <row r="370" spans="11:11">
      <c r="K370" s="35"/>
    </row>
    <row r="371" spans="11:11">
      <c r="K371" s="35"/>
    </row>
    <row r="372" spans="11:11">
      <c r="K372" s="35"/>
    </row>
    <row r="373" spans="11:11">
      <c r="K373" s="35"/>
    </row>
    <row r="374" spans="11:11">
      <c r="K374" s="35"/>
    </row>
    <row r="375" spans="11:11">
      <c r="K375" s="35"/>
    </row>
    <row r="376" spans="11:11">
      <c r="K376" s="35"/>
    </row>
    <row r="377" spans="11:11">
      <c r="K377" s="35"/>
    </row>
    <row r="378" spans="11:11">
      <c r="K378" s="35"/>
    </row>
    <row r="379" spans="11:11">
      <c r="K379" s="35"/>
    </row>
    <row r="380" spans="11:11">
      <c r="K380" s="35"/>
    </row>
    <row r="381" spans="11:11">
      <c r="K381" s="35"/>
    </row>
    <row r="382" spans="11:11">
      <c r="K382" s="35"/>
    </row>
    <row r="383" spans="11:11">
      <c r="K383" s="35"/>
    </row>
    <row r="384" spans="11:11">
      <c r="K384" s="35"/>
    </row>
    <row r="385" spans="11:11">
      <c r="K385" s="35"/>
    </row>
    <row r="386" spans="11:11">
      <c r="K386" s="35"/>
    </row>
    <row r="387" spans="11:11">
      <c r="K387" s="35"/>
    </row>
    <row r="388" spans="11:11">
      <c r="K388" s="35"/>
    </row>
    <row r="389" spans="11:11">
      <c r="K389" s="35"/>
    </row>
    <row r="390" spans="11:11">
      <c r="K390" s="35"/>
    </row>
    <row r="391" spans="11:11">
      <c r="K391" s="35"/>
    </row>
    <row r="392" spans="11:11">
      <c r="K392" s="35"/>
    </row>
    <row r="393" spans="11:11">
      <c r="K393" s="35"/>
    </row>
    <row r="394" spans="11:11">
      <c r="K394" s="35"/>
    </row>
    <row r="395" spans="11:11">
      <c r="K395" s="35"/>
    </row>
    <row r="396" spans="11:11">
      <c r="K396" s="35"/>
    </row>
    <row r="397" spans="11:11">
      <c r="K397" s="35"/>
    </row>
    <row r="398" spans="11:11">
      <c r="K398" s="35"/>
    </row>
    <row r="399" spans="11:11">
      <c r="K399" s="35"/>
    </row>
    <row r="400" spans="11:11">
      <c r="K400" s="35"/>
    </row>
    <row r="401" spans="11:11">
      <c r="K401" s="35"/>
    </row>
    <row r="402" spans="11:11">
      <c r="K402" s="35"/>
    </row>
    <row r="403" spans="11:11">
      <c r="K403" s="35"/>
    </row>
    <row r="404" spans="11:11">
      <c r="K404" s="35"/>
    </row>
    <row r="405" spans="11:11">
      <c r="K405" s="35"/>
    </row>
    <row r="406" spans="11:11">
      <c r="K406" s="35"/>
    </row>
    <row r="407" spans="11:11">
      <c r="K407" s="35"/>
    </row>
    <row r="408" spans="11:11">
      <c r="K408" s="35"/>
    </row>
    <row r="409" spans="11:11">
      <c r="K409" s="35"/>
    </row>
    <row r="410" spans="11:11">
      <c r="K410" s="35"/>
    </row>
    <row r="411" spans="11:11">
      <c r="K411" s="35"/>
    </row>
    <row r="412" spans="11:11">
      <c r="K412" s="35"/>
    </row>
    <row r="413" spans="11:11">
      <c r="K413" s="35"/>
    </row>
    <row r="414" spans="11:11">
      <c r="K414" s="35"/>
    </row>
    <row r="415" spans="11:11">
      <c r="K415" s="35"/>
    </row>
    <row r="416" spans="11:11">
      <c r="K416" s="35"/>
    </row>
    <row r="417" spans="11:11">
      <c r="K417" s="35"/>
    </row>
    <row r="418" spans="11:11">
      <c r="K418" s="35"/>
    </row>
    <row r="419" spans="11:11">
      <c r="K419" s="35"/>
    </row>
    <row r="420" spans="11:11">
      <c r="K420" s="35"/>
    </row>
    <row r="421" spans="11:11">
      <c r="K421" s="35"/>
    </row>
    <row r="422" spans="11:11">
      <c r="K422" s="35"/>
    </row>
    <row r="423" spans="11:11">
      <c r="K423" s="35"/>
    </row>
    <row r="424" spans="11:11">
      <c r="K424" s="35"/>
    </row>
    <row r="425" spans="11:11">
      <c r="K425" s="35"/>
    </row>
    <row r="426" spans="11:11">
      <c r="K426" s="35"/>
    </row>
    <row r="427" spans="11:11">
      <c r="K427" s="35"/>
    </row>
    <row r="428" spans="11:11">
      <c r="K428" s="35"/>
    </row>
    <row r="429" spans="11:11">
      <c r="K429" s="35"/>
    </row>
    <row r="430" spans="11:11">
      <c r="K430" s="35"/>
    </row>
    <row r="431" spans="11:11">
      <c r="K431" s="35"/>
    </row>
    <row r="432" spans="11:11">
      <c r="K432" s="35"/>
    </row>
    <row r="433" spans="11:11">
      <c r="K433" s="35"/>
    </row>
    <row r="434" spans="11:11">
      <c r="K434" s="35"/>
    </row>
    <row r="435" spans="11:11">
      <c r="K435" s="35"/>
    </row>
    <row r="436" spans="11:11">
      <c r="K436" s="35"/>
    </row>
    <row r="437" spans="11:11">
      <c r="K437" s="35"/>
    </row>
    <row r="438" spans="11:11">
      <c r="K438" s="35"/>
    </row>
    <row r="439" spans="11:11">
      <c r="K439" s="35"/>
    </row>
    <row r="440" spans="11:11">
      <c r="K440" s="35"/>
    </row>
    <row r="441" spans="11:11">
      <c r="K441" s="35"/>
    </row>
    <row r="442" spans="11:11">
      <c r="K442" s="35"/>
    </row>
    <row r="443" spans="11:11">
      <c r="K443" s="35"/>
    </row>
    <row r="444" spans="11:11">
      <c r="K444" s="35"/>
    </row>
    <row r="445" spans="11:11">
      <c r="K445" s="35"/>
    </row>
    <row r="446" spans="11:11">
      <c r="K446" s="35"/>
    </row>
    <row r="447" spans="11:11">
      <c r="K447" s="35"/>
    </row>
    <row r="448" spans="11:11">
      <c r="K448" s="35"/>
    </row>
    <row r="449" spans="11:11">
      <c r="K449" s="35"/>
    </row>
    <row r="450" spans="11:11">
      <c r="K450" s="35"/>
    </row>
    <row r="451" spans="11:11">
      <c r="K451" s="35"/>
    </row>
    <row r="452" spans="11:11">
      <c r="K452" s="35"/>
    </row>
    <row r="453" spans="11:11">
      <c r="K453" s="35"/>
    </row>
    <row r="454" spans="11:11">
      <c r="K454" s="35"/>
    </row>
    <row r="455" spans="11:11">
      <c r="K455" s="35"/>
    </row>
    <row r="456" spans="11:11">
      <c r="K456" s="35"/>
    </row>
    <row r="457" spans="11:11">
      <c r="K457" s="35"/>
    </row>
    <row r="458" spans="11:11">
      <c r="K458" s="35"/>
    </row>
    <row r="459" spans="11:11">
      <c r="K459" s="35"/>
    </row>
    <row r="460" spans="11:11">
      <c r="K460" s="35"/>
    </row>
    <row r="461" spans="11:11">
      <c r="K461" s="35"/>
    </row>
    <row r="462" spans="11:11">
      <c r="K462" s="35"/>
    </row>
    <row r="463" spans="11:11">
      <c r="K463" s="35"/>
    </row>
    <row r="464" spans="11:11">
      <c r="K464" s="35"/>
    </row>
    <row r="465" spans="11:11">
      <c r="K465" s="35"/>
    </row>
    <row r="466" spans="11:11">
      <c r="K466" s="35"/>
    </row>
    <row r="467" spans="11:11">
      <c r="K467" s="35"/>
    </row>
    <row r="468" spans="11:11">
      <c r="K468" s="35"/>
    </row>
    <row r="469" spans="11:11">
      <c r="K469" s="35"/>
    </row>
    <row r="470" spans="11:11">
      <c r="K470" s="35"/>
    </row>
    <row r="471" spans="11:11">
      <c r="K471" s="35"/>
    </row>
    <row r="472" spans="11:11">
      <c r="K472" s="35"/>
    </row>
    <row r="473" spans="11:11">
      <c r="K473" s="35"/>
    </row>
    <row r="474" spans="11:11">
      <c r="K474" s="35"/>
    </row>
    <row r="475" spans="11:11">
      <c r="K475" s="35"/>
    </row>
    <row r="476" spans="11:11">
      <c r="K476" s="35"/>
    </row>
    <row r="477" spans="11:11">
      <c r="K477" s="35"/>
    </row>
    <row r="478" spans="11:11">
      <c r="K478" s="35"/>
    </row>
    <row r="479" spans="11:11">
      <c r="K479" s="35"/>
    </row>
    <row r="480" spans="11:11">
      <c r="K480" s="35"/>
    </row>
    <row r="481" spans="11:11">
      <c r="K481" s="35"/>
    </row>
    <row r="482" spans="11:11">
      <c r="K482" s="35"/>
    </row>
    <row r="483" spans="11:11">
      <c r="K483" s="35"/>
    </row>
    <row r="484" spans="11:11">
      <c r="K484" s="35"/>
    </row>
    <row r="485" spans="11:11">
      <c r="K485" s="35"/>
    </row>
    <row r="486" spans="11:11">
      <c r="K486" s="35"/>
    </row>
    <row r="487" spans="11:11">
      <c r="K487" s="35"/>
    </row>
    <row r="488" spans="11:11">
      <c r="K488" s="35"/>
    </row>
    <row r="489" spans="11:11">
      <c r="K489" s="35"/>
    </row>
    <row r="490" spans="11:11">
      <c r="K490" s="35"/>
    </row>
    <row r="491" spans="11:11">
      <c r="K491" s="35"/>
    </row>
    <row r="492" spans="11:11">
      <c r="K492" s="35"/>
    </row>
    <row r="493" spans="11:11">
      <c r="K493" s="35"/>
    </row>
    <row r="494" spans="11:11">
      <c r="K494" s="35"/>
    </row>
    <row r="495" spans="11:11">
      <c r="K495" s="35"/>
    </row>
    <row r="496" spans="11:11">
      <c r="K496" s="35"/>
    </row>
    <row r="497" spans="11:11">
      <c r="K497" s="35"/>
    </row>
    <row r="498" spans="11:11">
      <c r="K498" s="35"/>
    </row>
    <row r="499" spans="11:11">
      <c r="K499" s="35"/>
    </row>
    <row r="500" spans="11:11">
      <c r="K500" s="35"/>
    </row>
    <row r="501" spans="11:11">
      <c r="K501" s="35"/>
    </row>
    <row r="502" spans="11:11">
      <c r="K502" s="35"/>
    </row>
    <row r="503" spans="11:11">
      <c r="K503" s="35"/>
    </row>
    <row r="504" spans="11:11">
      <c r="K504" s="35"/>
    </row>
    <row r="505" spans="11:11">
      <c r="K505" s="35"/>
    </row>
    <row r="506" spans="11:11">
      <c r="K506" s="35"/>
    </row>
    <row r="507" spans="11:11">
      <c r="K507" s="35"/>
    </row>
    <row r="508" spans="11:11">
      <c r="K508" s="35"/>
    </row>
    <row r="509" spans="11:11">
      <c r="K509" s="35"/>
    </row>
    <row r="510" spans="11:11">
      <c r="K510" s="35"/>
    </row>
    <row r="511" spans="11:11">
      <c r="K511" s="35"/>
    </row>
    <row r="512" spans="11:11">
      <c r="K512" s="35"/>
    </row>
    <row r="513" spans="11:11">
      <c r="K513" s="35"/>
    </row>
    <row r="514" spans="11:11">
      <c r="K514" s="35"/>
    </row>
    <row r="515" spans="11:11">
      <c r="K515" s="35"/>
    </row>
    <row r="516" spans="11:11">
      <c r="K516" s="35"/>
    </row>
    <row r="517" spans="11:11">
      <c r="K517" s="35"/>
    </row>
    <row r="518" spans="11:11">
      <c r="K518" s="35"/>
    </row>
    <row r="519" spans="11:11">
      <c r="K519" s="35"/>
    </row>
    <row r="520" spans="11:11">
      <c r="K520" s="35"/>
    </row>
    <row r="521" spans="11:11">
      <c r="K521" s="35"/>
    </row>
    <row r="522" spans="11:11">
      <c r="K522" s="35"/>
    </row>
    <row r="523" spans="11:11">
      <c r="K523" s="35"/>
    </row>
    <row r="524" spans="11:11">
      <c r="K524" s="35"/>
    </row>
    <row r="525" spans="11:11">
      <c r="K525" s="35"/>
    </row>
    <row r="526" spans="11:11">
      <c r="K526" s="35"/>
    </row>
    <row r="527" spans="11:11">
      <c r="K527" s="35"/>
    </row>
    <row r="528" spans="11:11">
      <c r="K528" s="35"/>
    </row>
    <row r="529" spans="11:11">
      <c r="K529" s="35"/>
    </row>
    <row r="530" spans="11:11">
      <c r="K530" s="35"/>
    </row>
    <row r="531" spans="11:11">
      <c r="K531" s="35"/>
    </row>
    <row r="532" spans="11:11">
      <c r="K532" s="35"/>
    </row>
    <row r="533" spans="11:11">
      <c r="K533" s="35"/>
    </row>
    <row r="534" spans="11:11">
      <c r="K534" s="35"/>
    </row>
    <row r="535" spans="11:11">
      <c r="K535" s="35"/>
    </row>
    <row r="536" spans="11:11">
      <c r="K536" s="35"/>
    </row>
    <row r="537" spans="11:11">
      <c r="K537" s="35"/>
    </row>
    <row r="538" spans="11:11">
      <c r="K538" s="35"/>
    </row>
    <row r="539" spans="11:11">
      <c r="K539" s="35"/>
    </row>
    <row r="540" spans="11:11">
      <c r="K540" s="35"/>
    </row>
    <row r="541" spans="11:11">
      <c r="K541" s="35"/>
    </row>
    <row r="542" spans="11:11">
      <c r="K542" s="35"/>
    </row>
    <row r="543" spans="11:11">
      <c r="K543" s="35"/>
    </row>
    <row r="544" spans="11:11">
      <c r="K544" s="35"/>
    </row>
    <row r="545" spans="11:11">
      <c r="K545" s="35"/>
    </row>
    <row r="546" spans="11:11">
      <c r="K546" s="35"/>
    </row>
    <row r="547" spans="11:11">
      <c r="K547" s="35"/>
    </row>
    <row r="548" spans="11:11">
      <c r="K548" s="35"/>
    </row>
    <row r="549" spans="11:11">
      <c r="K549" s="35"/>
    </row>
    <row r="550" spans="11:11">
      <c r="K550" s="35"/>
    </row>
    <row r="551" spans="11:11">
      <c r="K551" s="35"/>
    </row>
    <row r="552" spans="11:11">
      <c r="K552" s="35"/>
    </row>
    <row r="553" spans="11:11">
      <c r="K553" s="35"/>
    </row>
    <row r="554" spans="11:11">
      <c r="K554" s="35"/>
    </row>
    <row r="555" spans="11:11">
      <c r="K555" s="35"/>
    </row>
    <row r="556" spans="11:11">
      <c r="K556" s="35"/>
    </row>
    <row r="557" spans="11:11">
      <c r="K557" s="35"/>
    </row>
    <row r="558" spans="11:11">
      <c r="K558" s="35"/>
    </row>
    <row r="559" spans="11:11">
      <c r="K559" s="35"/>
    </row>
    <row r="560" spans="11:11">
      <c r="K560" s="35"/>
    </row>
    <row r="561" spans="11:11">
      <c r="K561" s="35"/>
    </row>
    <row r="562" spans="11:11">
      <c r="K562" s="35"/>
    </row>
    <row r="563" spans="11:11">
      <c r="K563" s="35"/>
    </row>
    <row r="564" spans="11:11">
      <c r="K564" s="35"/>
    </row>
    <row r="565" spans="11:11">
      <c r="K565" s="35"/>
    </row>
    <row r="566" spans="11:11">
      <c r="K566" s="35"/>
    </row>
    <row r="567" spans="11:11">
      <c r="K567" s="35"/>
    </row>
    <row r="568" spans="11:11">
      <c r="K568" s="35"/>
    </row>
    <row r="569" spans="11:11">
      <c r="K569" s="35"/>
    </row>
    <row r="570" spans="11:11">
      <c r="K570" s="35"/>
    </row>
    <row r="571" spans="11:11">
      <c r="K571" s="35"/>
    </row>
    <row r="572" spans="11:11">
      <c r="K572" s="35"/>
    </row>
    <row r="573" spans="11:11">
      <c r="K573" s="35"/>
    </row>
    <row r="574" spans="11:11">
      <c r="K574" s="35"/>
    </row>
    <row r="575" spans="11:11">
      <c r="K575" s="35"/>
    </row>
    <row r="576" spans="11:11">
      <c r="K576" s="35"/>
    </row>
    <row r="577" spans="11:11">
      <c r="K577" s="35"/>
    </row>
    <row r="578" spans="11:11">
      <c r="K578" s="35"/>
    </row>
    <row r="579" spans="11:11">
      <c r="K579" s="35"/>
    </row>
    <row r="580" spans="11:11">
      <c r="K580" s="35"/>
    </row>
    <row r="581" spans="11:11">
      <c r="K581" s="35"/>
    </row>
    <row r="582" spans="11:11">
      <c r="K582" s="35"/>
    </row>
    <row r="583" spans="11:11">
      <c r="K583" s="35"/>
    </row>
    <row r="584" spans="11:11">
      <c r="K584" s="35"/>
    </row>
    <row r="585" spans="11:11">
      <c r="K585" s="35"/>
    </row>
    <row r="586" spans="11:11">
      <c r="K586" s="35"/>
    </row>
    <row r="587" spans="11:11">
      <c r="K587" s="35"/>
    </row>
    <row r="588" spans="11:11">
      <c r="K588" s="35"/>
    </row>
    <row r="589" spans="11:11">
      <c r="K589" s="35"/>
    </row>
    <row r="590" spans="11:11">
      <c r="K590" s="35"/>
    </row>
    <row r="591" spans="11:11">
      <c r="K591" s="35"/>
    </row>
    <row r="592" spans="11:11">
      <c r="K592" s="35"/>
    </row>
    <row r="593" spans="11:11">
      <c r="K593" s="35"/>
    </row>
    <row r="594" spans="11:11">
      <c r="K594" s="35"/>
    </row>
    <row r="595" spans="11:11">
      <c r="K595" s="35"/>
    </row>
    <row r="596" spans="11:11">
      <c r="K596" s="35"/>
    </row>
    <row r="597" spans="11:11">
      <c r="K597" s="35"/>
    </row>
    <row r="598" spans="11:11">
      <c r="K598" s="35"/>
    </row>
    <row r="599" spans="11:11">
      <c r="K599" s="35"/>
    </row>
    <row r="600" spans="11:11">
      <c r="K600" s="35"/>
    </row>
    <row r="601" spans="11:11">
      <c r="K601" s="35"/>
    </row>
    <row r="602" spans="11:11">
      <c r="K602" s="35"/>
    </row>
    <row r="603" spans="11:11">
      <c r="K603" s="35"/>
    </row>
    <row r="604" spans="11:11">
      <c r="K604" s="35"/>
    </row>
    <row r="605" spans="11:11">
      <c r="K605" s="35"/>
    </row>
    <row r="606" spans="11:11">
      <c r="K606" s="35"/>
    </row>
    <row r="607" spans="11:11">
      <c r="K607" s="35"/>
    </row>
    <row r="608" spans="11:11">
      <c r="K608" s="35"/>
    </row>
    <row r="609" spans="11:11">
      <c r="K609" s="35"/>
    </row>
    <row r="610" spans="11:11">
      <c r="K610" s="35"/>
    </row>
    <row r="611" spans="11:11">
      <c r="K611" s="35"/>
    </row>
    <row r="612" spans="11:11">
      <c r="K612" s="35"/>
    </row>
    <row r="613" spans="11:11">
      <c r="K613" s="35"/>
    </row>
    <row r="614" spans="11:11">
      <c r="K614" s="35"/>
    </row>
    <row r="615" spans="11:11">
      <c r="K615" s="35"/>
    </row>
    <row r="616" spans="11:11">
      <c r="K616" s="35"/>
    </row>
    <row r="617" spans="11:11">
      <c r="K617" s="35"/>
    </row>
    <row r="618" spans="11:11">
      <c r="K618" s="35"/>
    </row>
    <row r="619" spans="11:11">
      <c r="K619" s="35"/>
    </row>
    <row r="620" spans="11:11">
      <c r="K620" s="35"/>
    </row>
    <row r="621" spans="11:11">
      <c r="K621" s="35"/>
    </row>
    <row r="622" spans="11:11">
      <c r="K622" s="35"/>
    </row>
    <row r="623" spans="11:11">
      <c r="K623" s="35"/>
    </row>
    <row r="624" spans="11:11">
      <c r="K624" s="35"/>
    </row>
    <row r="625" spans="11:11">
      <c r="K625" s="35"/>
    </row>
    <row r="626" spans="11:11">
      <c r="K626" s="35"/>
    </row>
    <row r="627" spans="11:11">
      <c r="K627" s="35"/>
    </row>
    <row r="628" spans="11:11">
      <c r="K628" s="35"/>
    </row>
    <row r="629" spans="11:11">
      <c r="K629" s="35"/>
    </row>
    <row r="630" spans="11:11">
      <c r="K630" s="35"/>
    </row>
    <row r="631" spans="11:11">
      <c r="K631" s="35"/>
    </row>
    <row r="632" spans="11:11">
      <c r="K632" s="35"/>
    </row>
    <row r="633" spans="11:11">
      <c r="K633" s="35"/>
    </row>
    <row r="634" spans="11:11">
      <c r="K634" s="35"/>
    </row>
    <row r="635" spans="11:11">
      <c r="K635" s="35"/>
    </row>
    <row r="636" spans="11:11">
      <c r="K636" s="35"/>
    </row>
    <row r="637" spans="11:11">
      <c r="K637" s="35"/>
    </row>
    <row r="638" spans="11:11">
      <c r="K638" s="35"/>
    </row>
    <row r="639" spans="11:11">
      <c r="K639" s="35"/>
    </row>
    <row r="640" spans="11:11">
      <c r="K640" s="35"/>
    </row>
    <row r="641" spans="11:11">
      <c r="K641" s="35"/>
    </row>
    <row r="642" spans="11:11">
      <c r="K642" s="35"/>
    </row>
    <row r="643" spans="11:11">
      <c r="K643" s="35"/>
    </row>
    <row r="644" spans="11:11">
      <c r="K644" s="35"/>
    </row>
    <row r="645" spans="11:11">
      <c r="K645" s="35"/>
    </row>
    <row r="646" spans="11:11">
      <c r="K646" s="35"/>
    </row>
    <row r="647" spans="11:11">
      <c r="K647" s="35"/>
    </row>
    <row r="648" spans="11:11">
      <c r="K648" s="35"/>
    </row>
    <row r="649" spans="11:11">
      <c r="K649" s="35"/>
    </row>
    <row r="650" spans="11:11">
      <c r="K650" s="35"/>
    </row>
    <row r="651" spans="11:11">
      <c r="K651" s="35"/>
    </row>
    <row r="652" spans="11:11">
      <c r="K652" s="35"/>
    </row>
    <row r="653" spans="11:11">
      <c r="K653" s="35"/>
    </row>
    <row r="654" spans="11:11">
      <c r="K654" s="35"/>
    </row>
    <row r="655" spans="11:11">
      <c r="K655" s="35"/>
    </row>
    <row r="656" spans="11:11">
      <c r="K656" s="35"/>
    </row>
    <row r="657" spans="11:11">
      <c r="K657" s="35"/>
    </row>
    <row r="658" spans="11:11">
      <c r="K658" s="35"/>
    </row>
    <row r="659" spans="11:11">
      <c r="K659" s="35"/>
    </row>
    <row r="660" spans="11:11">
      <c r="K660" s="35"/>
    </row>
    <row r="661" spans="11:11">
      <c r="K661" s="35"/>
    </row>
    <row r="662" spans="11:11">
      <c r="K662" s="35"/>
    </row>
    <row r="663" spans="11:11">
      <c r="K663" s="35"/>
    </row>
    <row r="664" spans="11:11">
      <c r="K664" s="35"/>
    </row>
    <row r="665" spans="11:11">
      <c r="K665" s="35"/>
    </row>
    <row r="666" spans="11:11">
      <c r="K666" s="35"/>
    </row>
    <row r="667" spans="11:11">
      <c r="K667" s="35"/>
    </row>
    <row r="668" spans="11:11">
      <c r="K668" s="35"/>
    </row>
    <row r="669" spans="11:11">
      <c r="K669" s="35"/>
    </row>
    <row r="670" spans="11:11">
      <c r="K670" s="35"/>
    </row>
    <row r="671" spans="11:11">
      <c r="K671" s="35"/>
    </row>
    <row r="672" spans="11:11">
      <c r="K672" s="35"/>
    </row>
    <row r="673" spans="11:11">
      <c r="K673" s="35"/>
    </row>
    <row r="674" spans="11:11">
      <c r="K674" s="35"/>
    </row>
    <row r="675" spans="11:11">
      <c r="K675" s="35"/>
    </row>
    <row r="676" spans="11:11">
      <c r="K676" s="35"/>
    </row>
    <row r="677" spans="11:11">
      <c r="K677" s="35"/>
    </row>
    <row r="678" spans="11:11">
      <c r="K678" s="35"/>
    </row>
    <row r="679" spans="11:11">
      <c r="K679" s="35"/>
    </row>
    <row r="680" spans="11:11">
      <c r="K680" s="35"/>
    </row>
    <row r="681" spans="11:11">
      <c r="K681" s="35"/>
    </row>
    <row r="682" spans="11:11">
      <c r="K682" s="35"/>
    </row>
    <row r="683" spans="11:11">
      <c r="K683" s="35"/>
    </row>
    <row r="684" spans="11:11">
      <c r="K684" s="35"/>
    </row>
    <row r="685" spans="11:11">
      <c r="K685" s="35"/>
    </row>
    <row r="686" spans="11:11">
      <c r="K686" s="35"/>
    </row>
    <row r="687" spans="11:11">
      <c r="K687" s="35"/>
    </row>
    <row r="688" spans="11:11">
      <c r="K688" s="35"/>
    </row>
    <row r="689" spans="11:11">
      <c r="K689" s="35"/>
    </row>
    <row r="690" spans="11:11">
      <c r="K690" s="35"/>
    </row>
    <row r="691" spans="11:11">
      <c r="K691" s="35"/>
    </row>
    <row r="692" spans="11:11">
      <c r="K692" s="35"/>
    </row>
    <row r="693" spans="11:11">
      <c r="K693" s="35"/>
    </row>
    <row r="694" spans="11:11">
      <c r="K694" s="35"/>
    </row>
    <row r="695" spans="11:11">
      <c r="K695" s="35"/>
    </row>
    <row r="696" spans="11:11">
      <c r="K696" s="35"/>
    </row>
    <row r="697" spans="11:11">
      <c r="K697" s="35"/>
    </row>
    <row r="698" spans="11:11">
      <c r="K698" s="35"/>
    </row>
    <row r="699" spans="11:11">
      <c r="K699" s="35"/>
    </row>
    <row r="700" spans="11:11">
      <c r="K700" s="35"/>
    </row>
    <row r="701" spans="11:11">
      <c r="K701" s="35"/>
    </row>
    <row r="702" spans="11:11">
      <c r="K702" s="35"/>
    </row>
    <row r="703" spans="11:11">
      <c r="K703" s="35"/>
    </row>
    <row r="704" spans="11:11">
      <c r="K704" s="35"/>
    </row>
    <row r="705" spans="11:11">
      <c r="K705" s="35"/>
    </row>
    <row r="706" spans="11:11">
      <c r="K706" s="35"/>
    </row>
    <row r="707" spans="11:11">
      <c r="K707" s="35"/>
    </row>
    <row r="708" spans="11:11">
      <c r="K708" s="35"/>
    </row>
    <row r="709" spans="11:11">
      <c r="K709" s="35"/>
    </row>
    <row r="710" spans="11:11">
      <c r="K710" s="35"/>
    </row>
    <row r="711" spans="11:11">
      <c r="K711" s="35"/>
    </row>
    <row r="712" spans="11:11">
      <c r="K712" s="35"/>
    </row>
    <row r="713" spans="11:11">
      <c r="K713" s="35"/>
    </row>
    <row r="714" spans="11:11">
      <c r="K714" s="35"/>
    </row>
    <row r="715" spans="11:11">
      <c r="K715" s="35"/>
    </row>
    <row r="716" spans="11:11">
      <c r="K716" s="35"/>
    </row>
    <row r="717" spans="11:11">
      <c r="K717" s="35"/>
    </row>
    <row r="718" spans="11:11">
      <c r="K718" s="35"/>
    </row>
    <row r="719" spans="11:11">
      <c r="K719" s="35"/>
    </row>
    <row r="720" spans="11:11">
      <c r="K720" s="35"/>
    </row>
    <row r="721" spans="11:11">
      <c r="K721" s="35"/>
    </row>
    <row r="722" spans="11:11">
      <c r="K722" s="35"/>
    </row>
    <row r="723" spans="11:11">
      <c r="K723" s="35"/>
    </row>
    <row r="724" spans="11:11">
      <c r="K724" s="35"/>
    </row>
    <row r="725" spans="11:11">
      <c r="K725" s="35"/>
    </row>
    <row r="726" spans="11:11">
      <c r="K726" s="35"/>
    </row>
    <row r="727" spans="11:11">
      <c r="K727" s="35"/>
    </row>
    <row r="728" spans="11:11">
      <c r="K728" s="35"/>
    </row>
    <row r="729" spans="11:11">
      <c r="K729" s="35"/>
    </row>
    <row r="730" spans="11:11">
      <c r="K730" s="35"/>
    </row>
    <row r="731" spans="11:11">
      <c r="K731" s="35"/>
    </row>
    <row r="732" spans="11:11">
      <c r="K732" s="35"/>
    </row>
    <row r="733" spans="11:11">
      <c r="K733" s="35"/>
    </row>
    <row r="734" spans="11:11">
      <c r="K734" s="35"/>
    </row>
    <row r="735" spans="11:11">
      <c r="K735" s="35"/>
    </row>
    <row r="736" spans="11:11">
      <c r="K736" s="35"/>
    </row>
    <row r="737" spans="11:11">
      <c r="K737" s="35"/>
    </row>
    <row r="738" spans="11:11">
      <c r="K738" s="35"/>
    </row>
    <row r="739" spans="11:11">
      <c r="K739" s="35"/>
    </row>
    <row r="740" spans="11:11">
      <c r="K740" s="35"/>
    </row>
    <row r="741" spans="11:11">
      <c r="K741" s="35"/>
    </row>
    <row r="742" spans="11:11">
      <c r="K742" s="35"/>
    </row>
    <row r="743" spans="11:11">
      <c r="K743" s="35"/>
    </row>
    <row r="744" spans="11:11">
      <c r="K744" s="35"/>
    </row>
    <row r="745" spans="11:11">
      <c r="K745" s="35"/>
    </row>
    <row r="746" spans="11:11">
      <c r="K746" s="35"/>
    </row>
    <row r="747" spans="11:11">
      <c r="K747" s="35"/>
    </row>
    <row r="748" spans="11:11">
      <c r="K748" s="35"/>
    </row>
    <row r="749" spans="11:11">
      <c r="K749" s="35"/>
    </row>
    <row r="750" spans="11:11">
      <c r="K750" s="35"/>
    </row>
    <row r="751" spans="11:11">
      <c r="K751" s="35"/>
    </row>
    <row r="752" spans="11:11">
      <c r="K752" s="35"/>
    </row>
    <row r="753" spans="11:11">
      <c r="K753" s="35"/>
    </row>
    <row r="754" spans="11:11">
      <c r="K754" s="35"/>
    </row>
    <row r="755" spans="11:11">
      <c r="K755" s="35"/>
    </row>
    <row r="756" spans="11:11">
      <c r="K756" s="35"/>
    </row>
    <row r="757" spans="11:11">
      <c r="K757" s="35"/>
    </row>
    <row r="758" spans="11:11">
      <c r="K758" s="35"/>
    </row>
    <row r="759" spans="11:11">
      <c r="K759" s="35"/>
    </row>
    <row r="760" spans="11:11">
      <c r="K760" s="35"/>
    </row>
    <row r="761" spans="11:11">
      <c r="K761" s="35"/>
    </row>
    <row r="762" spans="11:11">
      <c r="K762" s="35"/>
    </row>
    <row r="763" spans="11:11">
      <c r="K763" s="35"/>
    </row>
    <row r="764" spans="11:11">
      <c r="K764" s="35"/>
    </row>
    <row r="765" spans="11:11">
      <c r="K765" s="35"/>
    </row>
    <row r="766" spans="11:11">
      <c r="K766" s="35"/>
    </row>
    <row r="767" spans="11:11">
      <c r="K767" s="35"/>
    </row>
    <row r="768" spans="11:11">
      <c r="K768" s="35"/>
    </row>
    <row r="769" spans="11:11">
      <c r="K769" s="35"/>
    </row>
    <row r="770" spans="11:11">
      <c r="K770" s="35"/>
    </row>
    <row r="771" spans="11:11">
      <c r="K771" s="35"/>
    </row>
    <row r="772" spans="11:11">
      <c r="K772" s="35"/>
    </row>
    <row r="773" spans="11:11">
      <c r="K773" s="35"/>
    </row>
    <row r="774" spans="11:11">
      <c r="K774" s="35"/>
    </row>
    <row r="775" spans="11:11">
      <c r="K775" s="35"/>
    </row>
    <row r="776" spans="11:11">
      <c r="K776" s="35"/>
    </row>
    <row r="777" spans="11:11">
      <c r="K777" s="35"/>
    </row>
    <row r="778" spans="11:11">
      <c r="K778" s="35"/>
    </row>
    <row r="779" spans="11:11">
      <c r="K779" s="35"/>
    </row>
    <row r="780" spans="11:11">
      <c r="K780" s="35"/>
    </row>
    <row r="781" spans="11:11">
      <c r="K781" s="35"/>
    </row>
    <row r="782" spans="11:11">
      <c r="K782" s="35"/>
    </row>
    <row r="783" spans="11:11">
      <c r="K783" s="35"/>
    </row>
    <row r="784" spans="11:11">
      <c r="K784" s="35"/>
    </row>
    <row r="785" spans="11:11">
      <c r="K785" s="35"/>
    </row>
    <row r="786" spans="11:11">
      <c r="K786" s="35"/>
    </row>
    <row r="787" spans="11:11">
      <c r="K787" s="35"/>
    </row>
    <row r="788" spans="11:11">
      <c r="K788" s="35"/>
    </row>
    <row r="789" spans="11:11">
      <c r="K789" s="35"/>
    </row>
    <row r="790" spans="11:11">
      <c r="K790" s="35"/>
    </row>
    <row r="791" spans="11:11">
      <c r="K791" s="35"/>
    </row>
    <row r="792" spans="11:11">
      <c r="K792" s="35"/>
    </row>
    <row r="793" spans="11:11">
      <c r="K793" s="35"/>
    </row>
    <row r="794" spans="11:11">
      <c r="K794" s="35"/>
    </row>
    <row r="795" spans="11:11">
      <c r="K795" s="35"/>
    </row>
    <row r="796" spans="11:11">
      <c r="K796" s="35"/>
    </row>
    <row r="797" spans="11:11">
      <c r="K797" s="35"/>
    </row>
    <row r="798" spans="11:11">
      <c r="K798" s="35"/>
    </row>
    <row r="799" spans="11:11">
      <c r="K799" s="35"/>
    </row>
    <row r="800" spans="11:11">
      <c r="K800" s="35"/>
    </row>
    <row r="801" spans="11:11">
      <c r="K801" s="35"/>
    </row>
    <row r="802" spans="11:11">
      <c r="K802" s="35"/>
    </row>
    <row r="803" spans="11:11">
      <c r="K803" s="35"/>
    </row>
    <row r="804" spans="11:11">
      <c r="K804" s="35"/>
    </row>
    <row r="805" spans="11:11">
      <c r="K805" s="35"/>
    </row>
    <row r="806" spans="11:11">
      <c r="K806" s="35"/>
    </row>
    <row r="807" spans="11:11">
      <c r="K807" s="35"/>
    </row>
    <row r="808" spans="11:11">
      <c r="K808" s="35"/>
    </row>
    <row r="809" spans="11:11">
      <c r="K809" s="35"/>
    </row>
    <row r="810" spans="11:11">
      <c r="K810" s="35"/>
    </row>
    <row r="811" spans="11:11">
      <c r="K811" s="35"/>
    </row>
    <row r="812" spans="11:11">
      <c r="K812" s="35"/>
    </row>
    <row r="813" spans="11:11">
      <c r="K813" s="35"/>
    </row>
    <row r="814" spans="11:11">
      <c r="K814" s="35"/>
    </row>
    <row r="815" spans="11:11">
      <c r="K815" s="35"/>
    </row>
    <row r="816" spans="11:11">
      <c r="K816" s="35"/>
    </row>
    <row r="817" spans="11:11">
      <c r="K817" s="35"/>
    </row>
    <row r="818" spans="11:11">
      <c r="K818" s="35"/>
    </row>
    <row r="819" spans="11:11">
      <c r="K819" s="35"/>
    </row>
    <row r="820" spans="11:11">
      <c r="K820" s="35"/>
    </row>
    <row r="821" spans="11:11">
      <c r="K821" s="35"/>
    </row>
    <row r="822" spans="11:11">
      <c r="K822" s="35"/>
    </row>
    <row r="823" spans="11:11">
      <c r="K823" s="35"/>
    </row>
    <row r="824" spans="11:11">
      <c r="K824" s="35"/>
    </row>
    <row r="825" spans="11:11">
      <c r="K825" s="35"/>
    </row>
    <row r="826" spans="11:11">
      <c r="K826" s="35"/>
    </row>
    <row r="827" spans="11:11">
      <c r="K827" s="35"/>
    </row>
    <row r="828" spans="11:11">
      <c r="K828" s="35"/>
    </row>
    <row r="829" spans="11:11">
      <c r="K829" s="35"/>
    </row>
    <row r="830" spans="11:11">
      <c r="K830" s="35"/>
    </row>
    <row r="831" spans="11:11">
      <c r="K831" s="35"/>
    </row>
    <row r="832" spans="11:11">
      <c r="K832" s="35"/>
    </row>
    <row r="833" spans="11:11">
      <c r="K833" s="35"/>
    </row>
    <row r="834" spans="11:11">
      <c r="K834" s="35"/>
    </row>
    <row r="835" spans="11:11">
      <c r="K835" s="35"/>
    </row>
    <row r="836" spans="11:11">
      <c r="K836" s="35"/>
    </row>
    <row r="837" spans="11:11">
      <c r="K837" s="35"/>
    </row>
    <row r="838" spans="11:11">
      <c r="K838" s="35"/>
    </row>
    <row r="839" spans="11:11">
      <c r="K839" s="35"/>
    </row>
    <row r="840" spans="11:11">
      <c r="K840" s="35"/>
    </row>
    <row r="841" spans="11:11">
      <c r="K841" s="35"/>
    </row>
    <row r="842" spans="11:11">
      <c r="K842" s="35"/>
    </row>
    <row r="843" spans="11:11">
      <c r="K843" s="35"/>
    </row>
    <row r="844" spans="11:11">
      <c r="K844" s="35"/>
    </row>
    <row r="845" spans="11:11">
      <c r="K845" s="35"/>
    </row>
    <row r="846" spans="11:11">
      <c r="K846" s="35"/>
    </row>
    <row r="847" spans="11:11">
      <c r="K847" s="35"/>
    </row>
    <row r="848" spans="11:11">
      <c r="K848" s="35"/>
    </row>
    <row r="849" spans="11:11">
      <c r="K849" s="35"/>
    </row>
    <row r="850" spans="11:11">
      <c r="K850" s="35"/>
    </row>
    <row r="851" spans="11:11">
      <c r="K851" s="35"/>
    </row>
    <row r="852" spans="11:11">
      <c r="K852" s="35"/>
    </row>
    <row r="853" spans="11:11">
      <c r="K853" s="35"/>
    </row>
    <row r="854" spans="11:11">
      <c r="K854" s="35"/>
    </row>
    <row r="855" spans="11:11">
      <c r="K855" s="35"/>
    </row>
    <row r="856" spans="11:11">
      <c r="K856" s="35"/>
    </row>
    <row r="857" spans="11:11">
      <c r="K857" s="35"/>
    </row>
    <row r="858" spans="11:11">
      <c r="K858" s="35"/>
    </row>
    <row r="859" spans="11:11">
      <c r="K859" s="35"/>
    </row>
    <row r="860" spans="11:11">
      <c r="K860" s="35"/>
    </row>
    <row r="861" spans="11:11">
      <c r="K861" s="35"/>
    </row>
    <row r="862" spans="11:11">
      <c r="K862" s="35"/>
    </row>
    <row r="863" spans="11:11">
      <c r="K863" s="35"/>
    </row>
    <row r="864" spans="11:11">
      <c r="K864" s="35"/>
    </row>
    <row r="865" spans="11:11">
      <c r="K865" s="35"/>
    </row>
    <row r="866" spans="11:11">
      <c r="K866" s="35"/>
    </row>
    <row r="867" spans="11:11">
      <c r="K867" s="35"/>
    </row>
    <row r="868" spans="11:11">
      <c r="K868" s="35"/>
    </row>
    <row r="869" spans="11:11">
      <c r="K869" s="35"/>
    </row>
    <row r="870" spans="11:11">
      <c r="K870" s="35"/>
    </row>
    <row r="871" spans="11:11">
      <c r="K871" s="35"/>
    </row>
    <row r="872" spans="11:11">
      <c r="K872" s="35"/>
    </row>
    <row r="873" spans="11:11">
      <c r="K873" s="35"/>
    </row>
    <row r="874" spans="11:11">
      <c r="K874" s="35"/>
    </row>
    <row r="875" spans="11:11">
      <c r="K875" s="35"/>
    </row>
    <row r="876" spans="11:11">
      <c r="K876" s="35"/>
    </row>
    <row r="877" spans="11:11">
      <c r="K877" s="35"/>
    </row>
    <row r="878" spans="11:11">
      <c r="K878" s="35"/>
    </row>
    <row r="879" spans="11:11">
      <c r="K879" s="35"/>
    </row>
    <row r="880" spans="11:11">
      <c r="K880" s="35"/>
    </row>
    <row r="881" spans="11:11">
      <c r="K881" s="35"/>
    </row>
    <row r="882" spans="11:11">
      <c r="K882" s="35"/>
    </row>
    <row r="883" spans="11:11">
      <c r="K883" s="35"/>
    </row>
    <row r="884" spans="11:11">
      <c r="K884" s="35"/>
    </row>
    <row r="885" spans="11:11">
      <c r="K885" s="35"/>
    </row>
    <row r="886" spans="11:11">
      <c r="K886" s="35"/>
    </row>
    <row r="887" spans="11:11">
      <c r="K887" s="35"/>
    </row>
    <row r="888" spans="11:11">
      <c r="K888" s="35"/>
    </row>
    <row r="889" spans="11:11">
      <c r="K889" s="35"/>
    </row>
    <row r="890" spans="11:11">
      <c r="K890" s="35"/>
    </row>
    <row r="891" spans="11:11">
      <c r="K891" s="35"/>
    </row>
    <row r="892" spans="11:11">
      <c r="K892" s="35"/>
    </row>
    <row r="893" spans="11:11">
      <c r="K893" s="35"/>
    </row>
    <row r="894" spans="11:11">
      <c r="K894" s="35"/>
    </row>
    <row r="895" spans="11:11">
      <c r="K895" s="35"/>
    </row>
    <row r="896" spans="11:11">
      <c r="K896" s="35"/>
    </row>
    <row r="897" spans="11:11">
      <c r="K897" s="35"/>
    </row>
    <row r="898" spans="11:11">
      <c r="K898" s="35"/>
    </row>
    <row r="899" spans="11:11">
      <c r="K899" s="35"/>
    </row>
    <row r="900" spans="11:11">
      <c r="K900" s="35"/>
    </row>
    <row r="901" spans="11:11">
      <c r="K901" s="35"/>
    </row>
    <row r="902" spans="11:11">
      <c r="K902" s="35"/>
    </row>
    <row r="903" spans="11:11">
      <c r="K903" s="35"/>
    </row>
    <row r="904" spans="11:11">
      <c r="K904" s="35"/>
    </row>
    <row r="905" spans="11:11">
      <c r="K905" s="35"/>
    </row>
    <row r="906" spans="11:11">
      <c r="K906" s="35"/>
    </row>
    <row r="907" spans="11:11">
      <c r="K907" s="35"/>
    </row>
    <row r="908" spans="11:11">
      <c r="K908" s="35"/>
    </row>
    <row r="909" spans="11:11">
      <c r="K909" s="35"/>
    </row>
    <row r="910" spans="11:11">
      <c r="K910" s="35"/>
    </row>
    <row r="911" spans="11:11">
      <c r="K911" s="35"/>
    </row>
    <row r="912" spans="11:11">
      <c r="K912" s="35"/>
    </row>
    <row r="913" spans="11:11">
      <c r="K913" s="35"/>
    </row>
    <row r="914" spans="11:11">
      <c r="K914" s="35"/>
    </row>
    <row r="915" spans="11:11">
      <c r="K915" s="35"/>
    </row>
    <row r="916" spans="11:11">
      <c r="K916" s="35"/>
    </row>
    <row r="917" spans="11:11">
      <c r="K917" s="35"/>
    </row>
    <row r="918" spans="11:11">
      <c r="K918" s="35"/>
    </row>
    <row r="919" spans="11:11">
      <c r="K919" s="35"/>
    </row>
    <row r="920" spans="11:11">
      <c r="K920" s="35"/>
    </row>
    <row r="921" spans="11:11">
      <c r="K921" s="35"/>
    </row>
    <row r="922" spans="11:11">
      <c r="K922" s="35"/>
    </row>
    <row r="923" spans="11:11">
      <c r="K923" s="35"/>
    </row>
    <row r="924" spans="11:11">
      <c r="K924" s="35"/>
    </row>
    <row r="925" spans="11:11">
      <c r="K925" s="35"/>
    </row>
    <row r="926" spans="11:11">
      <c r="K926" s="35"/>
    </row>
    <row r="927" spans="11:11">
      <c r="K927" s="35"/>
    </row>
    <row r="928" spans="11:11">
      <c r="K928" s="35"/>
    </row>
    <row r="929" spans="11:11">
      <c r="K929" s="35"/>
    </row>
    <row r="930" spans="11:11">
      <c r="K930" s="35"/>
    </row>
    <row r="931" spans="11:11">
      <c r="K931" s="35"/>
    </row>
    <row r="932" spans="11:11">
      <c r="K932" s="35"/>
    </row>
    <row r="933" spans="11:11">
      <c r="K933" s="35"/>
    </row>
    <row r="934" spans="11:11">
      <c r="K934" s="35"/>
    </row>
    <row r="935" spans="11:11">
      <c r="K935" s="35"/>
    </row>
    <row r="936" spans="11:11">
      <c r="K936" s="35"/>
    </row>
    <row r="937" spans="11:11">
      <c r="K937" s="35"/>
    </row>
    <row r="938" spans="11:11">
      <c r="K938" s="35"/>
    </row>
    <row r="939" spans="11:11">
      <c r="K939" s="35"/>
    </row>
    <row r="940" spans="11:11">
      <c r="K940" s="35"/>
    </row>
    <row r="941" spans="11:11">
      <c r="K941" s="35"/>
    </row>
    <row r="942" spans="11:11">
      <c r="K942" s="35"/>
    </row>
    <row r="943" spans="11:11">
      <c r="K943" s="35"/>
    </row>
    <row r="944" spans="11:11">
      <c r="K944" s="35"/>
    </row>
    <row r="945" spans="11:11">
      <c r="K945" s="35"/>
    </row>
    <row r="946" spans="11:11">
      <c r="K946" s="35"/>
    </row>
    <row r="947" spans="11:11">
      <c r="K947" s="35"/>
    </row>
    <row r="948" spans="11:11">
      <c r="K948" s="35"/>
    </row>
    <row r="949" spans="11:11">
      <c r="K949" s="35"/>
    </row>
    <row r="950" spans="11:11">
      <c r="K950" s="35"/>
    </row>
    <row r="951" spans="11:11">
      <c r="K951" s="35"/>
    </row>
    <row r="952" spans="11:11">
      <c r="K952" s="35"/>
    </row>
    <row r="953" spans="11:11">
      <c r="K953" s="35"/>
    </row>
    <row r="954" spans="11:11">
      <c r="K954" s="35"/>
    </row>
    <row r="955" spans="11:11">
      <c r="K955" s="35"/>
    </row>
    <row r="956" spans="11:11">
      <c r="K956" s="35"/>
    </row>
    <row r="957" spans="11:11">
      <c r="K957" s="35"/>
    </row>
    <row r="958" spans="11:11">
      <c r="K958" s="35"/>
    </row>
    <row r="959" spans="11:11">
      <c r="K959" s="35"/>
    </row>
    <row r="960" spans="11:11">
      <c r="K960" s="35"/>
    </row>
    <row r="961" spans="11:11">
      <c r="K961" s="35"/>
    </row>
    <row r="962" spans="11:11">
      <c r="K962" s="35"/>
    </row>
    <row r="963" spans="11:11">
      <c r="K963" s="35"/>
    </row>
    <row r="964" spans="11:11">
      <c r="K964" s="35"/>
    </row>
    <row r="965" spans="11:11">
      <c r="K965" s="35"/>
    </row>
    <row r="966" spans="11:11">
      <c r="K966" s="35"/>
    </row>
    <row r="967" spans="11:11">
      <c r="K967" s="35"/>
    </row>
    <row r="968" spans="11:11">
      <c r="K968" s="35"/>
    </row>
    <row r="969" spans="11:11">
      <c r="K969" s="35"/>
    </row>
    <row r="970" spans="11:11">
      <c r="K970" s="35"/>
    </row>
    <row r="971" spans="11:11">
      <c r="K971" s="35"/>
    </row>
  </sheetData>
  <phoneticPr fontId="24"/>
  <pageMargins left="0.23622047244094491" right="0.23622047244094491" top="0.74803149606299213" bottom="0.74803149606299213" header="0.31496062992125984" footer="0.31496062992125984"/>
  <pageSetup paperSize="9" scale="80" fitToHeight="0" pageOrder="overThenDown" orientation="portrait" horizontalDpi="4294967293" r:id="rId1"/>
  <headerFooter>
    <oddHeader>&amp;L&amp;F&amp;A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60"/>
  <sheetViews>
    <sheetView zoomScale="80" zoomScaleNormal="80" workbookViewId="0">
      <selection activeCell="E9" sqref="E9"/>
    </sheetView>
  </sheetViews>
  <sheetFormatPr defaultRowHeight="13.5"/>
  <cols>
    <col min="1" max="1" width="2.375" style="11" customWidth="1"/>
    <col min="2" max="2" width="4.375" style="11" customWidth="1"/>
    <col min="3" max="3" width="9.125" style="11" customWidth="1"/>
    <col min="4" max="11" width="9.625" style="11" customWidth="1"/>
    <col min="12" max="12" width="12.5" style="11" customWidth="1"/>
    <col min="13" max="16384" width="9" style="11"/>
  </cols>
  <sheetData>
    <row r="1" spans="1:12" ht="9" customHeight="1"/>
    <row r="2" spans="1:12" s="32" customFormat="1" ht="18.75">
      <c r="B2" s="33" t="str">
        <f>BkTitle1</f>
        <v>SRIMfit_dbg</v>
      </c>
      <c r="F2" s="61" t="str">
        <f>BkTitle2</f>
        <v>AddInマクロ版 : セル内の式 = srFuncName()</v>
      </c>
    </row>
    <row r="3" spans="1:12" ht="9.75" customHeight="1"/>
    <row r="4" spans="1:12" ht="14.25">
      <c r="B4" s="210" t="s">
        <v>179</v>
      </c>
      <c r="F4" s="11" t="s">
        <v>240</v>
      </c>
      <c r="G4" s="9"/>
    </row>
    <row r="5" spans="1:12">
      <c r="B5" s="9"/>
      <c r="C5" s="9"/>
      <c r="D5" s="9"/>
      <c r="E5" s="9"/>
      <c r="F5" s="63"/>
      <c r="G5" s="9"/>
      <c r="I5" s="9"/>
      <c r="J5" s="9"/>
      <c r="K5" s="9"/>
      <c r="L5" s="9"/>
    </row>
    <row r="6" spans="1:1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>
      <c r="A7" s="9"/>
      <c r="B7" s="9"/>
      <c r="C7" s="12" t="s">
        <v>10</v>
      </c>
      <c r="D7" s="722" t="s">
        <v>258</v>
      </c>
      <c r="E7" s="33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 t="s">
        <v>183</v>
      </c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18" t="s">
        <v>184</v>
      </c>
      <c r="D10" s="251">
        <f>[1]!srInfoTrgDens(D7)</f>
        <v>2.3212000000000002</v>
      </c>
      <c r="E10" s="252" t="s">
        <v>144</v>
      </c>
      <c r="F10" s="249" t="s">
        <v>181</v>
      </c>
      <c r="G10" s="9"/>
      <c r="H10" s="9"/>
      <c r="I10" s="9"/>
      <c r="J10" s="9"/>
      <c r="K10" s="9"/>
      <c r="L10" s="9"/>
    </row>
    <row r="11" spans="1:12">
      <c r="A11" s="9"/>
      <c r="B11" s="9"/>
      <c r="C11" s="21" t="s">
        <v>185</v>
      </c>
      <c r="D11" s="253">
        <f>[1]!srInfoTrgDensA(D7)</f>
        <v>4.9770000000000002E+22</v>
      </c>
      <c r="E11" s="42" t="s">
        <v>145</v>
      </c>
      <c r="F11" s="249" t="s">
        <v>182</v>
      </c>
      <c r="G11" s="9"/>
      <c r="H11" s="9"/>
      <c r="I11" s="9"/>
      <c r="J11" s="9"/>
      <c r="K11" s="9"/>
      <c r="L11" s="9"/>
    </row>
    <row r="12" spans="1:1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2">
      <c r="A13" s="9"/>
      <c r="B13" s="9"/>
      <c r="C13" s="2" t="s">
        <v>143</v>
      </c>
      <c r="D13" s="248" t="s">
        <v>180</v>
      </c>
      <c r="E13" s="248" t="s">
        <v>222</v>
      </c>
      <c r="F13" s="9"/>
      <c r="G13" s="9"/>
      <c r="H13" s="9"/>
      <c r="I13" s="9"/>
      <c r="J13" s="9"/>
      <c r="K13" s="9"/>
      <c r="L13" s="9"/>
    </row>
    <row r="14" spans="1:12">
      <c r="A14" s="9"/>
      <c r="B14" s="9"/>
      <c r="C14" s="1">
        <v>1</v>
      </c>
      <c r="D14" s="164">
        <f>[1]!srLETCnvF(D7,C14)</f>
        <v>23.210999999999999</v>
      </c>
      <c r="E14" s="262" t="str">
        <f>[1]!srLETUNm(C14)</f>
        <v>eV/A</v>
      </c>
      <c r="F14" s="9"/>
      <c r="G14" s="9"/>
      <c r="H14" s="9"/>
      <c r="I14" s="9"/>
      <c r="J14" s="9"/>
      <c r="K14" s="9"/>
      <c r="L14" s="9"/>
    </row>
    <row r="15" spans="1:12">
      <c r="A15" s="9"/>
      <c r="B15" s="9"/>
      <c r="C15" s="1">
        <v>2</v>
      </c>
      <c r="D15" s="165">
        <f>[1]!srLETCnvF(D7,C15)</f>
        <v>232.11</v>
      </c>
      <c r="E15" s="262" t="str">
        <f>[1]!srLETUNm(C15)</f>
        <v>keV/um</v>
      </c>
      <c r="F15" s="9"/>
      <c r="G15" s="9"/>
      <c r="H15" s="9"/>
      <c r="I15" s="9"/>
      <c r="J15" s="9"/>
      <c r="K15" s="9"/>
      <c r="L15" s="9"/>
    </row>
    <row r="16" spans="1:12">
      <c r="A16" s="9"/>
      <c r="B16" s="9"/>
      <c r="C16" s="1">
        <v>3</v>
      </c>
      <c r="D16" s="263">
        <f>[1]!srLETCnvF(D7,C16)</f>
        <v>232.11</v>
      </c>
      <c r="E16" s="264" t="str">
        <f>[1]!srLETUNm(C16)</f>
        <v>MeV/mm</v>
      </c>
      <c r="F16" s="9"/>
      <c r="G16" s="9"/>
      <c r="H16" s="9"/>
      <c r="I16" s="9"/>
      <c r="J16" s="9"/>
      <c r="K16" s="9"/>
      <c r="L16" s="9"/>
    </row>
    <row r="17" spans="1:12">
      <c r="A17" s="9"/>
      <c r="B17" s="9"/>
      <c r="C17" s="1">
        <v>4</v>
      </c>
      <c r="D17" s="165">
        <f>[1]!srLETCnvF(D7,C17)</f>
        <v>1</v>
      </c>
      <c r="E17" s="262" t="str">
        <f>[1]!srLETUNm(C17)</f>
        <v>keV/(ug/cm2)</v>
      </c>
      <c r="F17" s="9"/>
      <c r="G17" s="9"/>
      <c r="H17" s="9"/>
      <c r="I17" s="9"/>
      <c r="J17" s="9"/>
      <c r="K17" s="9"/>
      <c r="L17" s="9"/>
    </row>
    <row r="18" spans="1:12">
      <c r="A18" s="9"/>
      <c r="B18" s="9"/>
      <c r="C18" s="1">
        <v>5</v>
      </c>
      <c r="D18" s="165">
        <f>[1]!srLETCnvF(D7,C18)</f>
        <v>1</v>
      </c>
      <c r="E18" s="262" t="str">
        <f>[1]!srLETUNm(C18)</f>
        <v>MeV/(mg/cm2)</v>
      </c>
      <c r="F18" s="9"/>
      <c r="G18" s="151" t="s">
        <v>186</v>
      </c>
      <c r="H18" s="319">
        <f>D17*D10*1000/10</f>
        <v>232.12000000000003</v>
      </c>
      <c r="I18" s="9" t="s">
        <v>187</v>
      </c>
      <c r="J18" s="9"/>
      <c r="K18" s="9"/>
      <c r="L18" s="9"/>
    </row>
    <row r="19" spans="1:12">
      <c r="A19" s="9"/>
      <c r="B19" s="9"/>
      <c r="C19" s="1">
        <v>6</v>
      </c>
      <c r="D19" s="165">
        <f>[1]!srLETCnvF(D7,C19)</f>
        <v>1000</v>
      </c>
      <c r="E19" s="262" t="str">
        <f>[1]!srLETUNm(C19)</f>
        <v>keV/(mg/cm2)</v>
      </c>
      <c r="F19" s="9"/>
      <c r="G19" s="9"/>
      <c r="H19" s="9"/>
      <c r="I19" s="9"/>
      <c r="J19" s="9"/>
      <c r="K19" s="9"/>
      <c r="L19" s="9"/>
    </row>
    <row r="20" spans="1:12">
      <c r="A20" s="9"/>
      <c r="B20" s="9"/>
      <c r="C20" s="1">
        <v>7</v>
      </c>
      <c r="D20" s="165">
        <f>[1]!srLETCnvF(D7,C20)</f>
        <v>46.637</v>
      </c>
      <c r="E20" s="262" t="str">
        <f>[1]!srLETUNm(C20)</f>
        <v>eV/1E15 atoms/cm2)</v>
      </c>
      <c r="F20" s="9"/>
      <c r="G20" s="151" t="s">
        <v>188</v>
      </c>
      <c r="H20" s="250">
        <f>D20*D11/1000000000000000</f>
        <v>2321123490</v>
      </c>
      <c r="I20" s="9" t="s">
        <v>189</v>
      </c>
      <c r="J20" s="9"/>
      <c r="K20" s="9"/>
      <c r="L20" s="9"/>
    </row>
    <row r="21" spans="1:12">
      <c r="A21" s="9"/>
      <c r="B21" s="9"/>
      <c r="C21" s="1">
        <v>8</v>
      </c>
      <c r="D21" s="166">
        <f>[1]!srLETCnvF(D7,C21)</f>
        <v>2.8021999999999998E-2</v>
      </c>
      <c r="E21" s="262" t="str">
        <f>[1]!srLETUNm(C21)</f>
        <v>L.S.S.</v>
      </c>
      <c r="F21" s="9"/>
      <c r="G21" s="9"/>
      <c r="H21" s="319">
        <f>H20/1000000/10</f>
        <v>232.11234899999999</v>
      </c>
      <c r="I21" s="9" t="s">
        <v>190</v>
      </c>
      <c r="J21" s="9"/>
      <c r="K21" s="9"/>
      <c r="L21" s="9"/>
    </row>
    <row r="22" spans="1:12">
      <c r="A22" s="9"/>
      <c r="B22" s="9"/>
      <c r="C22" s="1">
        <v>0</v>
      </c>
      <c r="D22" s="7" t="s">
        <v>146</v>
      </c>
      <c r="E22" s="167"/>
      <c r="F22" s="9"/>
      <c r="G22" s="9"/>
      <c r="H22" s="9"/>
      <c r="I22" s="9"/>
      <c r="J22" s="9"/>
      <c r="K22" s="9"/>
      <c r="L22" s="9"/>
    </row>
    <row r="23" spans="1:1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>
      <c r="A24" s="9"/>
      <c r="B24" s="9"/>
      <c r="C24" s="12" t="s">
        <v>249</v>
      </c>
      <c r="D24" s="341">
        <v>4.0599999999999996</v>
      </c>
      <c r="E24" s="5" t="s">
        <v>221</v>
      </c>
      <c r="F24" s="9"/>
      <c r="G24" s="9"/>
      <c r="H24" s="9"/>
      <c r="I24" s="254"/>
      <c r="J24" s="7"/>
      <c r="K24" s="76"/>
      <c r="L24" s="5"/>
    </row>
    <row r="25" spans="1:12">
      <c r="A25" s="9"/>
      <c r="B25" s="9"/>
      <c r="C25" s="255" t="s">
        <v>227</v>
      </c>
      <c r="D25" s="273" t="s">
        <v>191</v>
      </c>
      <c r="E25" s="273" t="s">
        <v>192</v>
      </c>
      <c r="F25" s="273" t="s">
        <v>193</v>
      </c>
      <c r="G25" s="111" t="s">
        <v>194</v>
      </c>
      <c r="H25" s="274" t="s">
        <v>195</v>
      </c>
      <c r="I25" s="274" t="s">
        <v>196</v>
      </c>
      <c r="J25" s="274" t="s">
        <v>197</v>
      </c>
      <c r="K25" s="275" t="s">
        <v>198</v>
      </c>
      <c r="L25" s="9"/>
    </row>
    <row r="26" spans="1:12">
      <c r="A26" s="9"/>
      <c r="B26" s="9"/>
      <c r="C26" s="255"/>
      <c r="D26" s="87" t="s">
        <v>199</v>
      </c>
      <c r="E26" s="87" t="s">
        <v>200</v>
      </c>
      <c r="F26" s="87" t="s">
        <v>201</v>
      </c>
      <c r="G26" s="276" t="s">
        <v>202</v>
      </c>
      <c r="H26" s="277" t="s">
        <v>203</v>
      </c>
      <c r="I26" s="277" t="s">
        <v>204</v>
      </c>
      <c r="J26" s="75" t="s">
        <v>205</v>
      </c>
      <c r="K26" s="278" t="s">
        <v>206</v>
      </c>
      <c r="L26" s="88"/>
    </row>
    <row r="27" spans="1:12">
      <c r="A27" s="9"/>
      <c r="B27" s="9"/>
      <c r="C27" s="279" t="s">
        <v>207</v>
      </c>
      <c r="D27" s="280">
        <v>1</v>
      </c>
      <c r="E27" s="280">
        <v>2</v>
      </c>
      <c r="F27" s="280">
        <v>3</v>
      </c>
      <c r="G27" s="280">
        <v>4</v>
      </c>
      <c r="H27" s="261">
        <v>5</v>
      </c>
      <c r="I27" s="280">
        <v>6</v>
      </c>
      <c r="J27" s="280">
        <v>7</v>
      </c>
      <c r="K27" s="281">
        <v>8</v>
      </c>
      <c r="L27" s="88"/>
    </row>
    <row r="28" spans="1:12">
      <c r="A28" s="9"/>
      <c r="B28" s="9"/>
      <c r="C28" s="18" t="s">
        <v>208</v>
      </c>
      <c r="D28" s="114">
        <f>[1]!srLETCnvF($D$7,D27)</f>
        <v>23.210999999999999</v>
      </c>
      <c r="E28" s="114">
        <f>[1]!srLETCnvF($D$7,E27)</f>
        <v>232.11</v>
      </c>
      <c r="F28" s="114">
        <f>[1]!srLETCnvF($D$7,F27)</f>
        <v>232.11</v>
      </c>
      <c r="G28" s="114">
        <f>[1]!srLETCnvF($D$7,G27)</f>
        <v>1</v>
      </c>
      <c r="H28" s="114">
        <f>[1]!srLETCnvF($D$7,H27)</f>
        <v>1</v>
      </c>
      <c r="I28" s="114">
        <f>[1]!srLETCnvF($D$7,I27)</f>
        <v>1000</v>
      </c>
      <c r="J28" s="114">
        <f>[1]!srLETCnvF($D$7,J27)</f>
        <v>46.637</v>
      </c>
      <c r="K28" s="115">
        <f>[1]!srLETCnvF($D$7,K27)</f>
        <v>2.8021999999999998E-2</v>
      </c>
      <c r="L28" s="259" t="s">
        <v>223</v>
      </c>
    </row>
    <row r="29" spans="1:12">
      <c r="A29" s="9"/>
      <c r="B29" s="9"/>
      <c r="C29" s="20" t="s">
        <v>209</v>
      </c>
      <c r="D29" s="114">
        <f>[1]!srE2LETe($D$7,$D24,D27)</f>
        <v>2185.7677538579997</v>
      </c>
      <c r="E29" s="114">
        <f>[1]!srE2LETe($D$7,$D24,E27)</f>
        <v>21857.677538579999</v>
      </c>
      <c r="F29" s="114">
        <f>[1]!srE2LETe($D$7,$D24,F27)</f>
        <v>21857.677538579999</v>
      </c>
      <c r="G29" s="114">
        <f>[1]!srE2LETe($D$7,$D24,G27)</f>
        <v>94.169477999999998</v>
      </c>
      <c r="H29" s="114">
        <f>[1]!srE2LETe($D$7,$D24,H27)</f>
        <v>94.169477999999998</v>
      </c>
      <c r="I29" s="114">
        <f>[1]!srE2LETe($D$7,$D24,I27)</f>
        <v>94169.478000000003</v>
      </c>
      <c r="J29" s="114">
        <f>[1]!srE2LETe($D$7,$D24,J27)</f>
        <v>4391.781945486</v>
      </c>
      <c r="K29" s="115">
        <f>[1]!srE2LETe($D$7,$D24,K27)</f>
        <v>2.6388171125159996</v>
      </c>
      <c r="L29" s="260" t="s">
        <v>224</v>
      </c>
    </row>
    <row r="30" spans="1:12">
      <c r="A30" s="9"/>
      <c r="B30" s="9"/>
      <c r="C30" s="20" t="s">
        <v>210</v>
      </c>
      <c r="D30" s="114">
        <f>[1]!srE2LETn($D$7,$D24,D27)</f>
        <v>4.5549716693400004</v>
      </c>
      <c r="E30" s="114">
        <f>[1]!srE2LETn($D$7,$D24,E27)</f>
        <v>45.549716693400008</v>
      </c>
      <c r="F30" s="114">
        <f>[1]!srE2LETn($D$7,$D24,F27)</f>
        <v>45.549716693400008</v>
      </c>
      <c r="G30" s="114">
        <f>[1]!srE2LETn($D$7,$D24,G27)</f>
        <v>0.19624194000000003</v>
      </c>
      <c r="H30" s="114">
        <f>[1]!srE2LETn($D$7,$D24,H27)</f>
        <v>0.19624194000000003</v>
      </c>
      <c r="I30" s="114">
        <f>[1]!srE2LETn($D$7,$D24,I27)</f>
        <v>196.24194000000003</v>
      </c>
      <c r="J30" s="114">
        <f>[1]!srE2LETn($D$7,$D24,J27)</f>
        <v>9.1521353557800023</v>
      </c>
      <c r="K30" s="115">
        <f>[1]!srE2LETn($D$7,$D24,K27)</f>
        <v>5.4990916426800006E-3</v>
      </c>
      <c r="L30" s="260" t="s">
        <v>225</v>
      </c>
    </row>
    <row r="31" spans="1:12">
      <c r="A31" s="9"/>
      <c r="B31" s="9"/>
      <c r="C31" s="21" t="s">
        <v>211</v>
      </c>
      <c r="D31" s="118">
        <f>[1]!srE2LETt($D$7,$D24,D27)</f>
        <v>2190.32272552734</v>
      </c>
      <c r="E31" s="118">
        <f>[1]!srE2LETt($D$7,$D24,E27)</f>
        <v>21903.227255273403</v>
      </c>
      <c r="F31" s="118">
        <f>[1]!srE2LETt($D$7,$D24,F27)</f>
        <v>21903.227255273403</v>
      </c>
      <c r="G31" s="118">
        <f>[1]!srE2LETt($D$7,$D24,G27)</f>
        <v>94.365719940000005</v>
      </c>
      <c r="H31" s="118">
        <f>[1]!srE2LETt($D$7,$D24,H27)</f>
        <v>94.365719940000005</v>
      </c>
      <c r="I31" s="118">
        <f>[1]!srE2LETt($D$7,$D24,I27)</f>
        <v>94365.71994000001</v>
      </c>
      <c r="J31" s="118">
        <f>[1]!srE2LETt($D$7,$D24,J27)</f>
        <v>4400.9340808417801</v>
      </c>
      <c r="K31" s="119">
        <f>[1]!srE2LETt($D$7,$D24,K27)</f>
        <v>2.6443162041586801</v>
      </c>
      <c r="L31" s="260" t="s">
        <v>226</v>
      </c>
    </row>
    <row r="32" spans="1:1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>
      <c r="A33" s="9"/>
      <c r="B33" s="9"/>
      <c r="C33" s="9"/>
      <c r="D33" s="272" t="s">
        <v>243</v>
      </c>
      <c r="E33" s="9"/>
      <c r="F33" s="9"/>
      <c r="G33" s="9"/>
      <c r="H33" s="9"/>
      <c r="I33" s="9"/>
      <c r="J33" s="9"/>
      <c r="K33" s="9"/>
      <c r="L33" s="9"/>
    </row>
    <row r="34" spans="1:12">
      <c r="A34" s="9"/>
      <c r="B34" s="9"/>
      <c r="C34" s="18" t="s">
        <v>209</v>
      </c>
      <c r="D34" s="311">
        <f>D$28*$H34</f>
        <v>2185.7677538579997</v>
      </c>
      <c r="E34" s="311">
        <f t="shared" ref="E34:G36" si="0">E$28*$H34</f>
        <v>21857.677538579999</v>
      </c>
      <c r="F34" s="311">
        <f t="shared" si="0"/>
        <v>21857.677538579999</v>
      </c>
      <c r="G34" s="311">
        <f t="shared" si="0"/>
        <v>94.169477999999998</v>
      </c>
      <c r="H34" s="306">
        <f>H29</f>
        <v>94.169477999999998</v>
      </c>
      <c r="I34" s="311">
        <f t="shared" ref="I34:K36" si="1">I$28*$H34</f>
        <v>94169.478000000003</v>
      </c>
      <c r="J34" s="311">
        <f t="shared" si="1"/>
        <v>4391.781945486</v>
      </c>
      <c r="K34" s="314">
        <f t="shared" si="1"/>
        <v>2.6388171125159996</v>
      </c>
      <c r="L34" s="9"/>
    </row>
    <row r="35" spans="1:12">
      <c r="A35" s="9"/>
      <c r="B35" s="9"/>
      <c r="C35" s="20" t="s">
        <v>210</v>
      </c>
      <c r="D35" s="312">
        <f>D$28*$H35</f>
        <v>4.5549716693400004</v>
      </c>
      <c r="E35" s="312">
        <f t="shared" si="0"/>
        <v>45.549716693400008</v>
      </c>
      <c r="F35" s="312">
        <f t="shared" si="0"/>
        <v>45.549716693400008</v>
      </c>
      <c r="G35" s="312">
        <f t="shared" si="0"/>
        <v>0.19624194000000003</v>
      </c>
      <c r="H35" s="283">
        <f>H30</f>
        <v>0.19624194000000003</v>
      </c>
      <c r="I35" s="312">
        <f t="shared" si="1"/>
        <v>196.24194000000003</v>
      </c>
      <c r="J35" s="312">
        <f t="shared" si="1"/>
        <v>9.1521353557800023</v>
      </c>
      <c r="K35" s="315">
        <f t="shared" si="1"/>
        <v>5.4990916426800006E-3</v>
      </c>
      <c r="L35" s="9"/>
    </row>
    <row r="36" spans="1:12">
      <c r="A36" s="9"/>
      <c r="B36" s="9"/>
      <c r="C36" s="21" t="s">
        <v>211</v>
      </c>
      <c r="D36" s="313">
        <f>D$28*$H36</f>
        <v>2190.32272552734</v>
      </c>
      <c r="E36" s="313">
        <f t="shared" si="0"/>
        <v>21903.227255273403</v>
      </c>
      <c r="F36" s="313">
        <f t="shared" si="0"/>
        <v>21903.227255273403</v>
      </c>
      <c r="G36" s="313">
        <f t="shared" si="0"/>
        <v>94.365719940000005</v>
      </c>
      <c r="H36" s="284">
        <f>H31</f>
        <v>94.365719940000005</v>
      </c>
      <c r="I36" s="313">
        <f t="shared" si="1"/>
        <v>94365.71994000001</v>
      </c>
      <c r="J36" s="313">
        <f t="shared" si="1"/>
        <v>4400.9340808417801</v>
      </c>
      <c r="K36" s="316">
        <f t="shared" si="1"/>
        <v>2.6443162041586801</v>
      </c>
      <c r="L36" s="9"/>
    </row>
    <row r="37" spans="1:1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>
      <c r="A38" s="9"/>
      <c r="B38" s="9"/>
      <c r="C38" s="266" t="s">
        <v>228</v>
      </c>
      <c r="D38" s="267" t="s">
        <v>212</v>
      </c>
      <c r="E38" s="285"/>
      <c r="F38" s="286"/>
      <c r="G38" s="268" t="s">
        <v>241</v>
      </c>
      <c r="H38" s="285"/>
      <c r="I38" s="287"/>
      <c r="J38" s="269" t="s">
        <v>242</v>
      </c>
      <c r="K38" s="286"/>
      <c r="L38" s="9"/>
    </row>
    <row r="39" spans="1:12">
      <c r="A39" s="9"/>
      <c r="B39" s="9"/>
      <c r="C39" s="20" t="s">
        <v>213</v>
      </c>
      <c r="D39" s="288">
        <f>[1]!srE2Rng(D7,D24)</f>
        <v>51.641773999999998</v>
      </c>
      <c r="E39" s="260" t="s">
        <v>230</v>
      </c>
      <c r="F39" s="265" t="s">
        <v>234</v>
      </c>
      <c r="G39" s="289">
        <f>[1]!srum2mg(D7,D39)</f>
        <v>11.98708858088</v>
      </c>
      <c r="H39" s="88"/>
      <c r="I39" s="265" t="s">
        <v>234</v>
      </c>
      <c r="J39" s="290">
        <f>[1]!srmg2um(D7,G39)</f>
        <v>51.641773999999998</v>
      </c>
      <c r="K39" s="156"/>
      <c r="L39" s="9"/>
    </row>
    <row r="40" spans="1:12">
      <c r="A40" s="9"/>
      <c r="B40" s="9"/>
      <c r="C40" s="20" t="s">
        <v>214</v>
      </c>
      <c r="D40" s="288">
        <f>[1]!srE2StLng(D7,D24)</f>
        <v>1.4397119999999999</v>
      </c>
      <c r="E40" s="260" t="s">
        <v>231</v>
      </c>
      <c r="F40" s="190" t="s">
        <v>233</v>
      </c>
      <c r="G40" s="289">
        <f>[1]!srum2mg(D7,D40)</f>
        <v>0.33418594944000002</v>
      </c>
      <c r="H40" s="291"/>
      <c r="I40" s="190" t="s">
        <v>233</v>
      </c>
      <c r="J40" s="290">
        <f>[1]!srmg2um(D7,G40)</f>
        <v>1.4397119999999999</v>
      </c>
      <c r="K40" s="292"/>
      <c r="L40" s="9"/>
    </row>
    <row r="41" spans="1:12">
      <c r="A41" s="9"/>
      <c r="B41" s="9"/>
      <c r="C41" s="21" t="s">
        <v>215</v>
      </c>
      <c r="D41" s="293">
        <f>[1]!srE2StLtr(D7,D24)</f>
        <v>1.139964</v>
      </c>
      <c r="E41" s="294" t="s">
        <v>232</v>
      </c>
      <c r="F41" s="295" t="s">
        <v>233</v>
      </c>
      <c r="G41" s="296">
        <f>[1]!srum2mg(D7,D41)</f>
        <v>0.26460844368000003</v>
      </c>
      <c r="H41" s="297"/>
      <c r="I41" s="295" t="s">
        <v>233</v>
      </c>
      <c r="J41" s="298">
        <f>[1]!srmg2um(D7,G41)</f>
        <v>1.139964</v>
      </c>
      <c r="K41" s="299"/>
      <c r="L41" s="9"/>
    </row>
    <row r="42" spans="1:1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</row>
    <row r="43" spans="1:12">
      <c r="A43" s="9"/>
      <c r="B43" s="9"/>
      <c r="C43" s="9"/>
      <c r="E43" s="272" t="s">
        <v>248</v>
      </c>
      <c r="F43" s="9"/>
      <c r="G43" s="9"/>
      <c r="H43" s="9"/>
      <c r="I43" s="9"/>
      <c r="J43" s="9"/>
      <c r="K43" s="9"/>
      <c r="L43" s="9"/>
    </row>
    <row r="44" spans="1:12">
      <c r="A44" s="9"/>
      <c r="B44" s="9"/>
      <c r="C44" s="18" t="s">
        <v>244</v>
      </c>
      <c r="D44" s="306">
        <f>D39</f>
        <v>51.641773999999998</v>
      </c>
      <c r="E44" s="307" t="s">
        <v>247</v>
      </c>
      <c r="F44" s="308">
        <f>D10</f>
        <v>2.3212000000000002</v>
      </c>
      <c r="G44" s="314">
        <f>D44/1000/10*F44*1000</f>
        <v>11.98708858088</v>
      </c>
      <c r="H44" s="283"/>
      <c r="I44" s="282"/>
      <c r="J44" s="282"/>
      <c r="K44" s="282"/>
      <c r="L44" s="9"/>
    </row>
    <row r="45" spans="1:12">
      <c r="A45" s="9"/>
      <c r="B45" s="9"/>
      <c r="C45" s="20" t="s">
        <v>245</v>
      </c>
      <c r="D45" s="283">
        <f t="shared" ref="D45:D46" si="2">D40</f>
        <v>1.4397119999999999</v>
      </c>
      <c r="E45" s="282"/>
      <c r="F45" s="282"/>
      <c r="G45" s="315">
        <f>D45/1000/10*F44*1000</f>
        <v>0.33418594944000002</v>
      </c>
      <c r="H45" s="283"/>
      <c r="I45" s="282"/>
      <c r="J45" s="282"/>
      <c r="K45" s="282"/>
      <c r="L45" s="9"/>
    </row>
    <row r="46" spans="1:12">
      <c r="A46" s="9"/>
      <c r="B46" s="9"/>
      <c r="C46" s="21" t="s">
        <v>246</v>
      </c>
      <c r="D46" s="284">
        <f t="shared" si="2"/>
        <v>1.139964</v>
      </c>
      <c r="E46" s="305"/>
      <c r="F46" s="305"/>
      <c r="G46" s="316">
        <f>D46/1000/10*F44*1000</f>
        <v>0.26460844368000003</v>
      </c>
      <c r="H46" s="283"/>
      <c r="I46" s="282"/>
      <c r="J46" s="282"/>
      <c r="K46" s="282"/>
      <c r="L46" s="9"/>
    </row>
    <row r="47" spans="1:1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>
      <c r="A48" s="9"/>
      <c r="B48" s="9"/>
      <c r="C48" s="266" t="s">
        <v>229</v>
      </c>
      <c r="D48" s="300" t="s">
        <v>216</v>
      </c>
      <c r="E48" s="301"/>
      <c r="F48" s="145" t="s">
        <v>217</v>
      </c>
      <c r="G48" s="309" t="s">
        <v>218</v>
      </c>
      <c r="H48" s="88"/>
      <c r="I48" s="9"/>
      <c r="J48" s="9"/>
      <c r="K48" s="9"/>
      <c r="L48" s="9"/>
    </row>
    <row r="49" spans="1:12">
      <c r="A49" s="9"/>
      <c r="B49" s="9"/>
      <c r="C49" s="20" t="s">
        <v>219</v>
      </c>
      <c r="D49" s="270">
        <f>D39</f>
        <v>51.641773999999998</v>
      </c>
      <c r="E49" s="256" t="s">
        <v>236</v>
      </c>
      <c r="F49" s="302">
        <f>[1]!srRng2E(D7,D49)</f>
        <v>4.0599999999999996</v>
      </c>
      <c r="G49" s="317">
        <f>(F49-D24)/D24</f>
        <v>0</v>
      </c>
      <c r="H49" s="303" t="s">
        <v>237</v>
      </c>
      <c r="I49" s="9"/>
      <c r="J49" s="9"/>
      <c r="K49" s="9"/>
      <c r="L49" s="9"/>
    </row>
    <row r="50" spans="1:12">
      <c r="A50" s="9"/>
      <c r="B50" s="9"/>
      <c r="C50" s="20" t="s">
        <v>220</v>
      </c>
      <c r="D50" s="270">
        <f>D40</f>
        <v>1.4397119999999999</v>
      </c>
      <c r="E50" s="256" t="s">
        <v>235</v>
      </c>
      <c r="F50" s="302">
        <f>[1]!srStLng2E(D7,D50)</f>
        <v>4.0599999999999996</v>
      </c>
      <c r="G50" s="317">
        <f>(F50-D24)/D24</f>
        <v>0</v>
      </c>
      <c r="H50" s="249" t="s">
        <v>239</v>
      </c>
      <c r="I50" s="9"/>
      <c r="J50" s="9"/>
      <c r="K50" s="9"/>
      <c r="L50" s="9"/>
    </row>
    <row r="51" spans="1:12">
      <c r="A51" s="9"/>
      <c r="B51" s="9"/>
      <c r="C51" s="21" t="s">
        <v>215</v>
      </c>
      <c r="D51" s="271">
        <f>D41</f>
        <v>1.139964</v>
      </c>
      <c r="E51" s="257" t="s">
        <v>235</v>
      </c>
      <c r="F51" s="304">
        <f>[1]!srStLtr2E(D7,D51)</f>
        <v>4.0600000000000014</v>
      </c>
      <c r="G51" s="318">
        <f>(F51-D24)/D24</f>
        <v>4.3752631512321446E-16</v>
      </c>
      <c r="H51" s="249" t="s">
        <v>238</v>
      </c>
      <c r="I51" s="9"/>
      <c r="J51" s="9"/>
      <c r="K51" s="9"/>
      <c r="L51" s="9"/>
    </row>
    <row r="52" spans="1:1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1:12">
      <c r="C56" s="9"/>
      <c r="D56" s="9"/>
      <c r="E56" s="9"/>
      <c r="F56" s="9"/>
      <c r="G56" s="9"/>
      <c r="H56" s="9"/>
      <c r="I56" s="9"/>
      <c r="J56" s="9"/>
      <c r="K56" s="9"/>
    </row>
    <row r="57" spans="1:12">
      <c r="C57" s="9"/>
      <c r="D57" s="9"/>
      <c r="E57" s="9"/>
      <c r="F57" s="9"/>
      <c r="G57" s="9"/>
      <c r="H57" s="9"/>
      <c r="I57" s="9"/>
      <c r="J57" s="9"/>
      <c r="K57" s="9"/>
    </row>
    <row r="58" spans="1:12">
      <c r="C58" s="9"/>
      <c r="D58" s="9"/>
      <c r="E58" s="9"/>
      <c r="F58" s="9"/>
      <c r="G58" s="9"/>
      <c r="H58" s="9"/>
      <c r="I58" s="9"/>
      <c r="J58" s="9"/>
      <c r="K58" s="9"/>
    </row>
    <row r="59" spans="1:12">
      <c r="C59" s="9"/>
      <c r="D59" s="9"/>
      <c r="E59" s="9"/>
      <c r="F59" s="9"/>
      <c r="G59" s="9"/>
      <c r="H59" s="9"/>
      <c r="I59" s="9"/>
      <c r="J59" s="9"/>
      <c r="K59" s="9"/>
    </row>
    <row r="60" spans="1:12">
      <c r="C60" s="9"/>
      <c r="D60" s="9"/>
      <c r="E60" s="9"/>
      <c r="F60" s="9"/>
      <c r="G60" s="9"/>
      <c r="H60" s="9"/>
      <c r="I60" s="9"/>
      <c r="J60" s="9"/>
      <c r="K60" s="9"/>
    </row>
  </sheetData>
  <phoneticPr fontId="24"/>
  <pageMargins left="0.23622047244094491" right="0.23622047244094491" top="0.74803149606299213" bottom="0.74803149606299213" header="0.31496062992125984" footer="0.31496062992125984"/>
  <pageSetup paperSize="9" scale="90" fitToHeight="0" pageOrder="overThenDown" orientation="portrait" r:id="rId1"/>
  <headerFooter>
    <oddHeader>&amp;L&amp;F&amp;A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Q43"/>
  <sheetViews>
    <sheetView zoomScale="80" zoomScaleNormal="80" workbookViewId="0">
      <selection activeCell="K30" sqref="K30"/>
    </sheetView>
  </sheetViews>
  <sheetFormatPr defaultRowHeight="13.5"/>
  <cols>
    <col min="1" max="1" width="4.125" style="11" customWidth="1"/>
    <col min="2" max="2" width="4.625" style="11" customWidth="1"/>
    <col min="3" max="3" width="14.625" style="11" customWidth="1"/>
    <col min="4" max="5" width="9.625" style="11" customWidth="1"/>
    <col min="6" max="6" width="10.625" style="11" customWidth="1"/>
    <col min="7" max="14" width="9.625" style="11" customWidth="1"/>
    <col min="15" max="16384" width="9" style="11"/>
  </cols>
  <sheetData>
    <row r="2" spans="1:17" s="32" customFormat="1" ht="18.75">
      <c r="B2" s="33" t="str">
        <f>BkTitle1</f>
        <v>SRIMfit_dbg</v>
      </c>
      <c r="F2" s="60" t="str">
        <f>BkTitle2</f>
        <v>AddInマクロ版 : セル内の式 = srFuncName()</v>
      </c>
    </row>
    <row r="3" spans="1:17" ht="6" customHeight="1"/>
    <row r="4" spans="1:17" ht="14.25">
      <c r="B4" s="210" t="s">
        <v>452</v>
      </c>
      <c r="F4" s="62" t="s">
        <v>37</v>
      </c>
      <c r="G4" s="9" t="s">
        <v>279</v>
      </c>
      <c r="J4" s="87" t="s">
        <v>44</v>
      </c>
    </row>
    <row r="5" spans="1:17">
      <c r="B5" s="9" t="s">
        <v>453</v>
      </c>
      <c r="C5" s="9"/>
      <c r="D5" s="3"/>
      <c r="E5" s="1"/>
      <c r="F5" s="364" t="s">
        <v>284</v>
      </c>
      <c r="G5" s="9" t="s">
        <v>280</v>
      </c>
      <c r="H5" s="9"/>
      <c r="I5" s="1"/>
      <c r="J5" s="62" t="s">
        <v>46</v>
      </c>
    </row>
    <row r="6" spans="1:17">
      <c r="C6" s="9" t="s">
        <v>483</v>
      </c>
      <c r="F6" s="363"/>
      <c r="G6" s="9"/>
      <c r="H6" s="9"/>
      <c r="J6" s="183" t="s">
        <v>54</v>
      </c>
      <c r="K6" s="14"/>
    </row>
    <row r="7" spans="1:17">
      <c r="B7" s="9"/>
      <c r="C7" s="9"/>
      <c r="D7" s="5"/>
      <c r="E7" s="5"/>
      <c r="F7" s="35"/>
      <c r="J7" s="214" t="s">
        <v>57</v>
      </c>
      <c r="K7" s="17"/>
    </row>
    <row r="8" spans="1:17" ht="14.25">
      <c r="B8" s="232"/>
      <c r="C8" s="334" t="s">
        <v>150</v>
      </c>
      <c r="D8" s="88"/>
      <c r="E8" s="169"/>
      <c r="G8" s="169"/>
      <c r="H8" s="169"/>
      <c r="I8" s="169"/>
      <c r="K8" s="40"/>
    </row>
    <row r="9" spans="1:17">
      <c r="B9" s="9"/>
      <c r="C9" s="170"/>
      <c r="D9" s="169"/>
      <c r="E9" s="9"/>
      <c r="F9" s="169"/>
      <c r="G9" s="169"/>
      <c r="H9" s="169"/>
      <c r="I9" s="169"/>
      <c r="K9" s="820" t="s">
        <v>504</v>
      </c>
      <c r="L9" s="28"/>
      <c r="M9" s="28"/>
    </row>
    <row r="10" spans="1:17">
      <c r="B10" s="9"/>
      <c r="C10" s="232" t="s">
        <v>506</v>
      </c>
      <c r="D10" s="812">
        <f>[1]!srMinE(C15)</f>
        <v>9.9999750000000008E-6</v>
      </c>
      <c r="E10" s="9"/>
      <c r="F10" s="810" t="s">
        <v>514</v>
      </c>
      <c r="G10" s="169"/>
      <c r="H10" s="169"/>
      <c r="I10" s="169"/>
      <c r="K10" s="818" t="s">
        <v>523</v>
      </c>
    </row>
    <row r="11" spans="1:17">
      <c r="B11" s="9"/>
      <c r="C11" s="232" t="s">
        <v>505</v>
      </c>
      <c r="D11" s="813">
        <f>[1]!srMaxE(C15)</f>
        <v>1000</v>
      </c>
      <c r="E11" s="9"/>
      <c r="F11" s="811">
        <f>[1]!srE2Rng(C15,D15)</f>
        <v>231.37</v>
      </c>
      <c r="G11" s="169"/>
      <c r="H11" s="169"/>
      <c r="I11" s="169"/>
      <c r="K11" s="28" t="s">
        <v>288</v>
      </c>
      <c r="L11" s="814"/>
      <c r="M11" s="28"/>
    </row>
    <row r="12" spans="1:17">
      <c r="B12" s="127"/>
      <c r="C12" s="112"/>
      <c r="D12" s="171" t="str">
        <f>[1]!srElmNm([1]!srInfoIonZ(C15))&amp;"-"</f>
        <v>Ar-</v>
      </c>
      <c r="E12" s="172">
        <f>[1]!srInfoIonA(C15)</f>
        <v>40</v>
      </c>
      <c r="F12" s="186" t="str">
        <f>[1]!srInfoTrgName(C15)</f>
        <v>Si</v>
      </c>
      <c r="G12" s="187"/>
      <c r="H12" s="188"/>
      <c r="I12" s="169"/>
      <c r="K12" s="814" t="s">
        <v>507</v>
      </c>
      <c r="L12" s="815" t="s">
        <v>508</v>
      </c>
      <c r="M12" s="818" t="s">
        <v>509</v>
      </c>
    </row>
    <row r="13" spans="1:17">
      <c r="B13" s="92"/>
      <c r="C13" s="156"/>
      <c r="D13" s="87" t="s">
        <v>455</v>
      </c>
      <c r="E13" s="169"/>
      <c r="F13" s="189" t="s">
        <v>329</v>
      </c>
      <c r="G13" s="169"/>
      <c r="H13" s="223" t="s">
        <v>456</v>
      </c>
      <c r="I13" s="87"/>
      <c r="K13" s="814" t="s">
        <v>536</v>
      </c>
      <c r="L13" s="815" t="s">
        <v>537</v>
      </c>
      <c r="M13" s="818" t="s">
        <v>538</v>
      </c>
    </row>
    <row r="14" spans="1:17" s="9" customFormat="1">
      <c r="A14" s="88"/>
      <c r="B14" s="92"/>
      <c r="C14" s="156"/>
      <c r="D14" s="87" t="s">
        <v>0</v>
      </c>
      <c r="E14" s="169"/>
      <c r="F14" s="189" t="s">
        <v>45</v>
      </c>
      <c r="G14" s="169"/>
      <c r="H14" s="223" t="s">
        <v>0</v>
      </c>
      <c r="I14" s="87"/>
      <c r="K14" s="817"/>
      <c r="L14" s="816"/>
      <c r="M14" s="28"/>
    </row>
    <row r="15" spans="1:17" s="9" customFormat="1">
      <c r="A15" s="88"/>
      <c r="B15" s="173" t="s">
        <v>149</v>
      </c>
      <c r="C15" s="174" t="s">
        <v>48</v>
      </c>
      <c r="D15" s="247">
        <v>15</v>
      </c>
      <c r="E15" s="176" t="s">
        <v>49</v>
      </c>
      <c r="F15" s="191">
        <v>20</v>
      </c>
      <c r="G15" s="176" t="s">
        <v>49</v>
      </c>
      <c r="H15" s="729">
        <f>[1]!srEnew(C15,D15,F15)</f>
        <v>14.092558983666063</v>
      </c>
      <c r="I15" s="228"/>
      <c r="Q15" s="365"/>
    </row>
    <row r="16" spans="1:17" s="35" customFormat="1">
      <c r="B16" s="71"/>
      <c r="C16" s="229"/>
      <c r="D16" s="230"/>
      <c r="E16" s="203"/>
      <c r="F16" s="798"/>
      <c r="G16" s="243"/>
      <c r="H16" s="799"/>
      <c r="I16" s="231"/>
      <c r="N16" s="9"/>
      <c r="O16" s="9"/>
      <c r="P16" s="9"/>
      <c r="Q16" s="9"/>
    </row>
    <row r="17" spans="1:15">
      <c r="D17" s="57" t="s">
        <v>26</v>
      </c>
      <c r="E17" s="735" t="s">
        <v>31</v>
      </c>
      <c r="F17" s="88"/>
      <c r="G17" s="88"/>
      <c r="H17" s="57" t="s">
        <v>26</v>
      </c>
      <c r="I17" s="735" t="s">
        <v>31</v>
      </c>
      <c r="J17" s="9"/>
      <c r="K17" s="822" t="s">
        <v>518</v>
      </c>
    </row>
    <row r="18" spans="1:15">
      <c r="D18" s="58" t="s">
        <v>25</v>
      </c>
      <c r="E18" s="606" t="s">
        <v>34</v>
      </c>
      <c r="F18" s="88"/>
      <c r="G18" s="88"/>
      <c r="H18" s="58" t="s">
        <v>25</v>
      </c>
      <c r="I18" s="606" t="s">
        <v>34</v>
      </c>
      <c r="J18" s="9"/>
      <c r="K18" s="25" t="s">
        <v>525</v>
      </c>
      <c r="L18" s="25" t="s">
        <v>526</v>
      </c>
      <c r="M18" s="25" t="s">
        <v>524</v>
      </c>
    </row>
    <row r="19" spans="1:15">
      <c r="C19" s="146" t="s">
        <v>549</v>
      </c>
      <c r="D19" s="138"/>
      <c r="E19" s="9"/>
      <c r="F19" s="88"/>
      <c r="G19" s="146" t="s">
        <v>552</v>
      </c>
      <c r="H19" s="138"/>
      <c r="I19" s="9"/>
      <c r="J19" s="88"/>
      <c r="K19" s="814" t="s">
        <v>510</v>
      </c>
      <c r="L19" s="823" t="s">
        <v>527</v>
      </c>
      <c r="M19" s="821" t="s">
        <v>530</v>
      </c>
      <c r="N19" s="10"/>
      <c r="O19" s="10"/>
    </row>
    <row r="20" spans="1:15">
      <c r="G20" s="787" t="s">
        <v>461</v>
      </c>
      <c r="H20" s="746"/>
      <c r="K20" s="814" t="s">
        <v>511</v>
      </c>
      <c r="L20" s="823" t="s">
        <v>528</v>
      </c>
      <c r="M20" s="821" t="s">
        <v>531</v>
      </c>
      <c r="N20" s="10"/>
      <c r="O20" s="10"/>
    </row>
    <row r="21" spans="1:15">
      <c r="B21" s="80" t="s">
        <v>454</v>
      </c>
      <c r="C21" s="126">
        <f>[1]!srE2Ix($C$15,D21)</f>
        <v>180</v>
      </c>
      <c r="D21" s="728">
        <f>D15</f>
        <v>15</v>
      </c>
      <c r="E21" s="732" t="s">
        <v>458</v>
      </c>
      <c r="F21" s="80"/>
      <c r="G21" s="126">
        <f>[1]!srVal2Ix($C$15,I21,5,-1)</f>
        <v>180</v>
      </c>
      <c r="H21" s="745"/>
      <c r="I21" s="797">
        <f>F34</f>
        <v>211.37</v>
      </c>
      <c r="J21" s="732" t="s">
        <v>460</v>
      </c>
      <c r="K21" s="814" t="s">
        <v>516</v>
      </c>
      <c r="L21" s="823" t="s">
        <v>528</v>
      </c>
      <c r="M21" s="824" t="s">
        <v>529</v>
      </c>
      <c r="N21" s="10"/>
      <c r="O21" s="10"/>
    </row>
    <row r="22" spans="1:15">
      <c r="C22" s="147">
        <f>C21-2</f>
        <v>178</v>
      </c>
      <c r="D22" s="343">
        <f>[1]!srIx2Val($C$15,C22,1)</f>
        <v>12.5</v>
      </c>
      <c r="E22" s="736">
        <f>[1]!srIx2Val($C$15,C22,5)</f>
        <v>177.81</v>
      </c>
      <c r="F22" s="348"/>
      <c r="G22" s="147">
        <f>G21-2</f>
        <v>178</v>
      </c>
      <c r="H22" s="343">
        <f>[1]!srIx2Val($C$15,G22,1)</f>
        <v>12.5</v>
      </c>
      <c r="I22" s="736">
        <f>[1]!srIx2Val($C$15,G22,5)</f>
        <v>177.81</v>
      </c>
      <c r="J22" s="348"/>
      <c r="K22" s="814" t="s">
        <v>517</v>
      </c>
      <c r="L22" s="823" t="s">
        <v>528</v>
      </c>
      <c r="M22" s="824" t="s">
        <v>529</v>
      </c>
      <c r="N22" s="10"/>
      <c r="O22" s="10"/>
    </row>
    <row r="23" spans="1:15">
      <c r="C23" s="133">
        <f>C21-1</f>
        <v>179</v>
      </c>
      <c r="D23" s="113">
        <f>[1]!srIx2Val($C$15,C23,1)</f>
        <v>13.75</v>
      </c>
      <c r="E23" s="737">
        <f>[1]!srIx2Val($C$15,C23,5)</f>
        <v>203.82</v>
      </c>
      <c r="F23" s="348"/>
      <c r="G23" s="133">
        <f>G21-1</f>
        <v>179</v>
      </c>
      <c r="H23" s="113">
        <f>[1]!srIx2Val($C$15,G23,1)</f>
        <v>13.75</v>
      </c>
      <c r="I23" s="737">
        <f>[1]!srIx2Val($C$15,G23,5)</f>
        <v>203.82</v>
      </c>
      <c r="J23" s="348"/>
      <c r="K23" s="825" t="s">
        <v>528</v>
      </c>
      <c r="L23" s="814" t="s">
        <v>512</v>
      </c>
      <c r="M23" s="821" t="s">
        <v>532</v>
      </c>
      <c r="N23" s="10"/>
      <c r="O23" s="10"/>
    </row>
    <row r="24" spans="1:15">
      <c r="B24" s="733" t="s">
        <v>457</v>
      </c>
      <c r="C24" s="320">
        <f>C21</f>
        <v>180</v>
      </c>
      <c r="D24" s="742">
        <f>[1]!srIx2Val($C$15,C24,1)</f>
        <v>15</v>
      </c>
      <c r="E24" s="743">
        <f>[1]!srIx2Val($C$15,C24,5)</f>
        <v>231.37</v>
      </c>
      <c r="F24" s="348"/>
      <c r="G24" s="320">
        <f>G21</f>
        <v>180</v>
      </c>
      <c r="H24" s="742">
        <f>[1]!srIx2Val($C$15,G24,1)</f>
        <v>15</v>
      </c>
      <c r="I24" s="743">
        <f>[1]!srIx2Val($C$15,G24,5)</f>
        <v>231.37</v>
      </c>
      <c r="J24" s="348"/>
      <c r="K24" s="825" t="s">
        <v>528</v>
      </c>
      <c r="L24" s="814" t="s">
        <v>513</v>
      </c>
      <c r="M24" s="821" t="s">
        <v>531</v>
      </c>
      <c r="N24" s="10"/>
      <c r="O24" s="10"/>
    </row>
    <row r="25" spans="1:15" s="9" customFormat="1">
      <c r="B25" s="11"/>
      <c r="C25" s="134">
        <f>C21+1</f>
        <v>181</v>
      </c>
      <c r="D25" s="113">
        <f>[1]!srIx2Val($C$15,C25,1)</f>
        <v>16.25</v>
      </c>
      <c r="E25" s="737">
        <f>[1]!srIx2Val($C$15,C25,5)</f>
        <v>260.45999999999998</v>
      </c>
      <c r="F25" s="348"/>
      <c r="G25" s="134">
        <f>G21+1</f>
        <v>181</v>
      </c>
      <c r="H25" s="113">
        <f>[1]!srIx2Val($C$15,G25,1)</f>
        <v>16.25</v>
      </c>
      <c r="I25" s="737">
        <f>[1]!srIx2Val($C$15,G25,5)</f>
        <v>260.45999999999998</v>
      </c>
      <c r="J25" s="348"/>
      <c r="K25" s="825" t="s">
        <v>528</v>
      </c>
      <c r="L25" s="814" t="s">
        <v>515</v>
      </c>
      <c r="M25" s="31" t="s">
        <v>533</v>
      </c>
      <c r="N25" s="88"/>
      <c r="O25" s="88"/>
    </row>
    <row r="26" spans="1:15" s="9" customFormat="1">
      <c r="C26" s="148">
        <f>C21+2</f>
        <v>182</v>
      </c>
      <c r="D26" s="116">
        <f>[1]!srIx2Val($C$15,C26,1)</f>
        <v>17.5</v>
      </c>
      <c r="E26" s="738">
        <f>[1]!srIx2Val($C$15,C26,5)</f>
        <v>291.06</v>
      </c>
      <c r="F26" s="35"/>
      <c r="G26" s="148">
        <f>G21+2</f>
        <v>182</v>
      </c>
      <c r="H26" s="116">
        <f>[1]!srIx2Val($C$15,G26,1)</f>
        <v>17.5</v>
      </c>
      <c r="I26" s="738">
        <f>[1]!srIx2Val($C$15,G26,5)</f>
        <v>291.06</v>
      </c>
      <c r="J26" s="35"/>
      <c r="K26" s="29" t="s">
        <v>534</v>
      </c>
      <c r="L26" s="814" t="s">
        <v>515</v>
      </c>
      <c r="M26" s="821" t="s">
        <v>535</v>
      </c>
    </row>
    <row r="27" spans="1:15" s="9" customFormat="1">
      <c r="F27" s="35"/>
      <c r="J27" s="35"/>
      <c r="K27" s="28"/>
      <c r="L27" s="814"/>
      <c r="M27" s="31"/>
    </row>
    <row r="28" spans="1:15" s="9" customFormat="1">
      <c r="C28" s="146" t="s">
        <v>550</v>
      </c>
      <c r="F28" s="35"/>
      <c r="G28" s="146" t="s">
        <v>553</v>
      </c>
      <c r="J28" s="35"/>
      <c r="K28" s="28"/>
      <c r="L28" s="814"/>
      <c r="M28" s="31"/>
    </row>
    <row r="29" spans="1:15" s="9" customFormat="1">
      <c r="C29" s="145" t="s">
        <v>130</v>
      </c>
      <c r="D29" s="730">
        <f>D21-D24</f>
        <v>0</v>
      </c>
      <c r="F29" s="530"/>
      <c r="G29" s="96" t="s">
        <v>475</v>
      </c>
      <c r="H29" s="350"/>
      <c r="I29" s="829">
        <f>I21-I24</f>
        <v>-20</v>
      </c>
      <c r="J29" s="530"/>
      <c r="K29" s="28"/>
      <c r="L29" s="28"/>
      <c r="M29" s="31"/>
    </row>
    <row r="30" spans="1:15" s="9" customFormat="1">
      <c r="C30" s="96" t="s">
        <v>131</v>
      </c>
      <c r="D30" s="139">
        <f>D24-D23</f>
        <v>1.25</v>
      </c>
      <c r="E30" s="739">
        <f>E24-E23</f>
        <v>27.550000000000011</v>
      </c>
      <c r="F30" s="530"/>
      <c r="G30" s="497" t="s">
        <v>131</v>
      </c>
      <c r="H30" s="139">
        <f>H24-H23</f>
        <v>1.25</v>
      </c>
      <c r="I30" s="739">
        <f>I24-I23</f>
        <v>27.550000000000011</v>
      </c>
      <c r="J30" s="530"/>
      <c r="K30" s="28"/>
      <c r="L30" s="814"/>
      <c r="M30" s="31"/>
    </row>
    <row r="31" spans="1:15" s="9" customFormat="1">
      <c r="C31" s="91" t="s">
        <v>132</v>
      </c>
      <c r="D31" s="143"/>
      <c r="E31" s="740">
        <f>E30/D30</f>
        <v>22.04000000000001</v>
      </c>
      <c r="F31" s="726"/>
      <c r="G31" s="368" t="s">
        <v>132</v>
      </c>
      <c r="H31" s="135">
        <f>H30/I30</f>
        <v>4.5372050816696895E-2</v>
      </c>
      <c r="I31" s="740"/>
      <c r="J31" s="726"/>
      <c r="K31" s="28"/>
      <c r="L31" s="814"/>
      <c r="M31" s="28"/>
    </row>
    <row r="32" spans="1:15" s="9" customFormat="1">
      <c r="A32" s="123"/>
      <c r="C32" s="731" t="s">
        <v>133</v>
      </c>
      <c r="D32" s="326"/>
      <c r="E32" s="741">
        <f>E24+E31*D29</f>
        <v>231.37</v>
      </c>
      <c r="F32" s="732" t="s">
        <v>459</v>
      </c>
      <c r="G32" s="828" t="s">
        <v>133</v>
      </c>
      <c r="H32" s="830">
        <f>H24+H31*I29</f>
        <v>14.092558983666063</v>
      </c>
      <c r="I32" s="741"/>
      <c r="K32" s="28"/>
      <c r="L32" s="814"/>
      <c r="M32" s="28"/>
    </row>
    <row r="33" spans="1:13" s="124" customFormat="1">
      <c r="B33" s="9"/>
      <c r="C33" s="487"/>
      <c r="D33" s="35"/>
      <c r="E33" s="35"/>
      <c r="F33" s="744" t="s">
        <v>551</v>
      </c>
      <c r="G33" s="725"/>
      <c r="H33" s="732" t="s">
        <v>480</v>
      </c>
      <c r="I33" s="725"/>
      <c r="J33" s="9"/>
      <c r="K33" s="826"/>
      <c r="L33" s="826"/>
      <c r="M33" s="826"/>
    </row>
    <row r="34" spans="1:13" s="9" customFormat="1">
      <c r="A34" s="88"/>
      <c r="B34" s="124"/>
      <c r="C34" s="720"/>
      <c r="D34" s="749"/>
      <c r="E34" s="749"/>
      <c r="F34" s="800">
        <f>E32-F15</f>
        <v>211.37</v>
      </c>
      <c r="G34" s="727"/>
      <c r="H34" s="727"/>
      <c r="I34" s="727"/>
      <c r="J34" s="124"/>
      <c r="K34" s="28"/>
      <c r="L34" s="28"/>
      <c r="M34" s="28"/>
    </row>
    <row r="35" spans="1:13" s="9" customFormat="1">
      <c r="A35" s="88"/>
      <c r="B35" s="720"/>
      <c r="C35" s="146" t="s">
        <v>471</v>
      </c>
      <c r="D35" s="88"/>
      <c r="E35" s="88"/>
      <c r="F35" s="35"/>
      <c r="G35" s="146" t="s">
        <v>471</v>
      </c>
      <c r="H35" s="35"/>
      <c r="I35" s="35"/>
      <c r="K35" s="28"/>
      <c r="L35" s="28"/>
      <c r="M35" s="28"/>
    </row>
    <row r="36" spans="1:13" s="9" customFormat="1">
      <c r="A36" s="88"/>
      <c r="B36" s="599"/>
      <c r="C36" s="758"/>
      <c r="D36" s="107"/>
      <c r="E36" s="108"/>
      <c r="F36" s="721"/>
      <c r="G36" s="721"/>
      <c r="H36" s="721"/>
      <c r="I36" s="721"/>
      <c r="K36" s="28"/>
      <c r="L36" s="28"/>
      <c r="M36" s="28"/>
    </row>
    <row r="37" spans="1:13" s="9" customFormat="1">
      <c r="A37" s="88"/>
      <c r="B37" s="599"/>
      <c r="C37" s="88"/>
      <c r="D37" s="107"/>
      <c r="E37" s="108"/>
      <c r="F37" s="88"/>
      <c r="G37" s="88"/>
      <c r="H37" s="88"/>
      <c r="I37" s="88"/>
      <c r="K37" s="814"/>
      <c r="L37" s="785"/>
      <c r="M37" s="815"/>
    </row>
    <row r="38" spans="1:13" s="9" customFormat="1">
      <c r="A38" s="88"/>
      <c r="B38" s="599"/>
      <c r="C38" s="461"/>
      <c r="D38" s="88"/>
      <c r="E38" s="88"/>
      <c r="F38" s="88"/>
      <c r="G38" s="88"/>
      <c r="H38" s="88"/>
      <c r="I38" s="88"/>
      <c r="K38" s="814"/>
      <c r="L38" s="814"/>
      <c r="M38" s="814"/>
    </row>
    <row r="39" spans="1:13" s="9" customFormat="1">
      <c r="A39" s="88"/>
      <c r="B39" s="599"/>
      <c r="C39" s="88"/>
      <c r="D39" s="734"/>
      <c r="E39" s="108"/>
      <c r="F39" s="88"/>
      <c r="G39" s="88"/>
      <c r="H39" s="88"/>
      <c r="I39" s="88"/>
      <c r="K39" s="28"/>
      <c r="L39" s="29"/>
      <c r="M39" s="28"/>
    </row>
    <row r="40" spans="1:13" s="9" customFormat="1">
      <c r="A40" s="88"/>
      <c r="B40" s="599"/>
      <c r="C40" s="758"/>
      <c r="D40" s="734"/>
      <c r="E40" s="108"/>
      <c r="F40" s="155"/>
      <c r="G40" s="88"/>
      <c r="H40" s="88"/>
      <c r="I40" s="88"/>
      <c r="K40" s="28"/>
      <c r="L40" s="28"/>
      <c r="M40" s="28"/>
    </row>
    <row r="41" spans="1:13">
      <c r="A41" s="10"/>
      <c r="B41" s="599"/>
      <c r="C41" s="107"/>
      <c r="D41" s="10"/>
      <c r="E41" s="10"/>
      <c r="F41" s="157"/>
      <c r="G41" s="150"/>
      <c r="H41" s="10"/>
      <c r="I41" s="10"/>
      <c r="K41" s="9"/>
      <c r="L41" s="9"/>
      <c r="M41" s="9"/>
    </row>
    <row r="42" spans="1:13">
      <c r="A42" s="10"/>
      <c r="B42" s="599"/>
      <c r="C42" s="107"/>
      <c r="D42" s="10"/>
      <c r="E42" s="10"/>
      <c r="F42" s="10"/>
      <c r="G42" s="157"/>
      <c r="H42" s="150"/>
      <c r="I42" s="10"/>
    </row>
    <row r="43" spans="1:13">
      <c r="A43" s="10"/>
      <c r="B43" s="599"/>
      <c r="C43" s="107"/>
      <c r="D43" s="10"/>
      <c r="E43" s="10"/>
      <c r="F43" s="10"/>
      <c r="G43" s="10"/>
      <c r="H43" s="157"/>
      <c r="I43" s="150"/>
    </row>
  </sheetData>
  <phoneticPr fontId="24"/>
  <pageMargins left="0.23622047244094491" right="0.23622047244094491" top="0.39370078740157483" bottom="0.39370078740157483" header="0.31496062992125984" footer="0.31496062992125984"/>
  <pageSetup paperSize="9" scale="90" fitToHeight="0" pageOrder="overThenDown" orientation="portrait" r:id="rId1"/>
  <headerFooter>
    <oddHeader>&amp;L&amp;F&amp;A</oddHeader>
    <oddFooter>&amp;C&amp;P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2:Q43"/>
  <sheetViews>
    <sheetView zoomScale="80" zoomScaleNormal="80" workbookViewId="0">
      <selection activeCell="F16" sqref="F16"/>
    </sheetView>
  </sheetViews>
  <sheetFormatPr defaultRowHeight="13.5"/>
  <cols>
    <col min="1" max="1" width="4.125" style="11" customWidth="1"/>
    <col min="2" max="2" width="4.625" style="11" customWidth="1"/>
    <col min="3" max="3" width="14.625" style="11" customWidth="1"/>
    <col min="4" max="5" width="9.625" style="11" customWidth="1"/>
    <col min="6" max="6" width="10.625" style="11" customWidth="1"/>
    <col min="7" max="14" width="9.625" style="11" customWidth="1"/>
    <col min="15" max="16384" width="9" style="11"/>
  </cols>
  <sheetData>
    <row r="2" spans="1:17" s="32" customFormat="1" ht="18.75">
      <c r="B2" s="33" t="str">
        <f>BkTitle1</f>
        <v>SRIMfit_dbg</v>
      </c>
      <c r="F2" s="60" t="str">
        <f>BkTitle2</f>
        <v>AddInマクロ版 : セル内の式 = srFuncName()</v>
      </c>
    </row>
    <row r="3" spans="1:17" ht="6" customHeight="1"/>
    <row r="4" spans="1:17" ht="14.25">
      <c r="B4" s="210" t="s">
        <v>451</v>
      </c>
      <c r="F4" s="62" t="s">
        <v>37</v>
      </c>
      <c r="G4" s="9" t="s">
        <v>279</v>
      </c>
      <c r="J4" s="87" t="s">
        <v>44</v>
      </c>
    </row>
    <row r="5" spans="1:17">
      <c r="B5" s="9" t="s">
        <v>539</v>
      </c>
      <c r="C5" s="9"/>
      <c r="D5" s="3"/>
      <c r="E5" s="1"/>
      <c r="F5" s="364" t="s">
        <v>284</v>
      </c>
      <c r="G5" s="9" t="s">
        <v>280</v>
      </c>
      <c r="H5" s="9"/>
      <c r="I5" s="1"/>
      <c r="J5" s="62" t="s">
        <v>46</v>
      </c>
    </row>
    <row r="6" spans="1:17">
      <c r="C6" s="9" t="s">
        <v>542</v>
      </c>
      <c r="F6" s="363"/>
      <c r="G6" s="9"/>
      <c r="H6" s="9"/>
      <c r="J6" s="183" t="s">
        <v>54</v>
      </c>
      <c r="K6" s="14"/>
    </row>
    <row r="7" spans="1:17">
      <c r="B7" s="9"/>
      <c r="C7" s="9"/>
      <c r="D7" s="5"/>
      <c r="E7" s="5"/>
      <c r="F7" s="35"/>
      <c r="J7" s="214" t="s">
        <v>57</v>
      </c>
      <c r="K7" s="17"/>
    </row>
    <row r="8" spans="1:17" ht="14.25">
      <c r="B8" s="232"/>
      <c r="C8" s="334" t="s">
        <v>153</v>
      </c>
      <c r="D8" s="88"/>
      <c r="E8" s="169"/>
      <c r="G8" s="169"/>
      <c r="H8" s="169"/>
      <c r="I8" s="169"/>
      <c r="K8" s="40"/>
    </row>
    <row r="9" spans="1:17">
      <c r="B9" s="9"/>
      <c r="C9" s="170"/>
      <c r="D9" s="169"/>
      <c r="E9" s="9"/>
      <c r="F9" s="169"/>
      <c r="G9" s="169"/>
      <c r="H9" s="169"/>
      <c r="I9" s="169"/>
      <c r="K9" s="820" t="s">
        <v>541</v>
      </c>
      <c r="L9" s="28"/>
      <c r="M9" s="28"/>
    </row>
    <row r="10" spans="1:17">
      <c r="B10" s="9"/>
      <c r="E10" s="9"/>
      <c r="F10" s="810" t="s">
        <v>514</v>
      </c>
      <c r="G10" s="232" t="s">
        <v>506</v>
      </c>
      <c r="H10" s="812">
        <f>[1]!srMinE(C15)</f>
        <v>9.9999750000000008E-6</v>
      </c>
      <c r="I10" s="169"/>
      <c r="K10" s="818"/>
    </row>
    <row r="11" spans="1:17">
      <c r="B11" s="9"/>
      <c r="E11" s="9"/>
      <c r="F11" s="811">
        <f>[1]!srE2Rng(C15,D15)</f>
        <v>135.47</v>
      </c>
      <c r="G11" s="232" t="s">
        <v>505</v>
      </c>
      <c r="H11" s="813">
        <f>[1]!srMaxE(C15)</f>
        <v>1000</v>
      </c>
      <c r="I11" s="169"/>
      <c r="K11" s="28" t="s">
        <v>288</v>
      </c>
      <c r="L11" s="814"/>
      <c r="M11" s="28"/>
    </row>
    <row r="12" spans="1:17">
      <c r="B12" s="127"/>
      <c r="C12" s="112"/>
      <c r="D12" s="171" t="str">
        <f>[1]!srElmNm([1]!srInfoIonZ(C15))&amp;"-"</f>
        <v>Ar-</v>
      </c>
      <c r="E12" s="172">
        <f>[1]!srInfoIonA(C15)</f>
        <v>40</v>
      </c>
      <c r="F12" s="186" t="str">
        <f>[1]!srInfoTrgName(C15)</f>
        <v>Si</v>
      </c>
      <c r="G12" s="187"/>
      <c r="H12" s="188"/>
      <c r="I12" s="169"/>
      <c r="K12" s="814" t="s">
        <v>507</v>
      </c>
      <c r="L12" s="815" t="s">
        <v>508</v>
      </c>
      <c r="M12" s="818" t="s">
        <v>558</v>
      </c>
    </row>
    <row r="13" spans="1:17">
      <c r="B13" s="92"/>
      <c r="C13" s="156"/>
      <c r="D13" s="227" t="s">
        <v>455</v>
      </c>
      <c r="E13" s="169"/>
      <c r="F13" s="189" t="s">
        <v>329</v>
      </c>
      <c r="G13" s="169"/>
      <c r="H13" s="196" t="s">
        <v>456</v>
      </c>
      <c r="I13" s="87"/>
      <c r="K13" s="814" t="s">
        <v>536</v>
      </c>
      <c r="L13" s="815" t="s">
        <v>537</v>
      </c>
      <c r="M13" s="818" t="s">
        <v>538</v>
      </c>
    </row>
    <row r="14" spans="1:17" s="9" customFormat="1">
      <c r="A14" s="88"/>
      <c r="B14" s="92"/>
      <c r="C14" s="156"/>
      <c r="D14" s="227" t="s">
        <v>0</v>
      </c>
      <c r="E14" s="169"/>
      <c r="F14" s="189" t="s">
        <v>45</v>
      </c>
      <c r="G14" s="169"/>
      <c r="H14" s="196" t="s">
        <v>0</v>
      </c>
      <c r="I14" s="87"/>
      <c r="K14" s="817"/>
      <c r="L14" s="816"/>
      <c r="M14" s="28"/>
    </row>
    <row r="15" spans="1:17" s="9" customFormat="1">
      <c r="A15" s="88"/>
      <c r="B15" s="173" t="s">
        <v>149</v>
      </c>
      <c r="C15" s="174" t="s">
        <v>48</v>
      </c>
      <c r="D15" s="827">
        <f>[1]!srEold(C15,H15,F15)</f>
        <v>10.273164335664335</v>
      </c>
      <c r="E15" s="176" t="s">
        <v>56</v>
      </c>
      <c r="F15" s="191">
        <v>5</v>
      </c>
      <c r="G15" s="176" t="s">
        <v>56</v>
      </c>
      <c r="H15" s="226">
        <v>10</v>
      </c>
      <c r="I15" s="228"/>
      <c r="Q15" s="365"/>
    </row>
    <row r="16" spans="1:17" s="35" customFormat="1">
      <c r="B16" s="71"/>
      <c r="C16" s="229"/>
      <c r="D16" s="230"/>
      <c r="E16" s="203"/>
      <c r="F16" s="798"/>
      <c r="G16" s="243"/>
      <c r="H16" s="799"/>
      <c r="I16" s="231"/>
      <c r="N16" s="9"/>
      <c r="O16" s="9"/>
      <c r="P16" s="9"/>
      <c r="Q16" s="9"/>
    </row>
    <row r="17" spans="1:15">
      <c r="D17" s="57" t="s">
        <v>26</v>
      </c>
      <c r="E17" s="735" t="s">
        <v>31</v>
      </c>
      <c r="F17" s="88"/>
      <c r="G17" s="88"/>
      <c r="H17" s="57" t="s">
        <v>26</v>
      </c>
      <c r="I17" s="735" t="s">
        <v>31</v>
      </c>
      <c r="J17" s="9"/>
      <c r="K17" s="822" t="s">
        <v>518</v>
      </c>
    </row>
    <row r="18" spans="1:15">
      <c r="D18" s="58" t="s">
        <v>25</v>
      </c>
      <c r="E18" s="606" t="s">
        <v>34</v>
      </c>
      <c r="F18" s="88"/>
      <c r="G18" s="88"/>
      <c r="H18" s="58" t="s">
        <v>25</v>
      </c>
      <c r="I18" s="606" t="s">
        <v>34</v>
      </c>
      <c r="J18" s="9"/>
      <c r="K18" s="25" t="s">
        <v>456</v>
      </c>
      <c r="L18" s="25" t="s">
        <v>329</v>
      </c>
      <c r="M18" s="25" t="s">
        <v>561</v>
      </c>
    </row>
    <row r="19" spans="1:15">
      <c r="C19" s="146" t="s">
        <v>547</v>
      </c>
      <c r="D19" s="138"/>
      <c r="E19" s="9"/>
      <c r="F19" s="88"/>
      <c r="G19" s="146" t="s">
        <v>544</v>
      </c>
      <c r="H19" s="138"/>
      <c r="I19" s="9"/>
      <c r="J19" s="88"/>
      <c r="K19" s="814" t="s">
        <v>556</v>
      </c>
      <c r="L19" s="823" t="s">
        <v>527</v>
      </c>
      <c r="M19" s="821" t="s">
        <v>530</v>
      </c>
      <c r="N19" s="10"/>
      <c r="O19" s="10"/>
    </row>
    <row r="20" spans="1:15">
      <c r="C20" s="787" t="s">
        <v>461</v>
      </c>
      <c r="G20" s="787" t="s">
        <v>461</v>
      </c>
      <c r="H20" s="746"/>
      <c r="I20" s="80" t="s">
        <v>543</v>
      </c>
      <c r="K20" s="814" t="s">
        <v>557</v>
      </c>
      <c r="L20" s="823" t="s">
        <v>527</v>
      </c>
      <c r="M20" s="824" t="s">
        <v>529</v>
      </c>
      <c r="N20" s="10"/>
      <c r="O20" s="10"/>
    </row>
    <row r="21" spans="1:15">
      <c r="B21" s="80" t="s">
        <v>454</v>
      </c>
      <c r="C21" s="126">
        <f>[1]!srVal2Ix($C$15,E21,5,-1)</f>
        <v>177</v>
      </c>
      <c r="D21" s="747"/>
      <c r="E21" s="831">
        <f>F34</f>
        <v>135.47</v>
      </c>
      <c r="F21" s="732" t="s">
        <v>554</v>
      </c>
      <c r="G21" s="126">
        <f>[1]!srVal2Ix($C$15,I21,5,-1)</f>
        <v>176</v>
      </c>
      <c r="H21" s="745"/>
      <c r="I21" s="797">
        <f>[1]!srE2Rng(C15,H15)</f>
        <v>130.47</v>
      </c>
      <c r="J21" s="732" t="s">
        <v>460</v>
      </c>
      <c r="K21" s="814"/>
      <c r="L21" s="823"/>
      <c r="M21" s="824"/>
      <c r="N21" s="10"/>
      <c r="O21" s="10"/>
    </row>
    <row r="22" spans="1:15">
      <c r="C22" s="147">
        <f>C21-2</f>
        <v>175</v>
      </c>
      <c r="D22" s="343">
        <f>[1]!srIx2Val($C$15,C22,1)</f>
        <v>9.375</v>
      </c>
      <c r="E22" s="736">
        <f>[1]!srIx2Val($C$15,C22,5)</f>
        <v>119.62</v>
      </c>
      <c r="F22" s="348"/>
      <c r="G22" s="147">
        <f>G21-2</f>
        <v>174</v>
      </c>
      <c r="H22" s="343">
        <f>[1]!srIx2Val($C$15,G22,1)</f>
        <v>8.75</v>
      </c>
      <c r="I22" s="736">
        <f>[1]!srIx2Val($C$15,G22,5)</f>
        <v>109.16</v>
      </c>
      <c r="J22" s="348"/>
      <c r="K22" s="814" t="s">
        <v>559</v>
      </c>
      <c r="L22" s="823" t="s">
        <v>562</v>
      </c>
      <c r="M22" s="821" t="s">
        <v>535</v>
      </c>
      <c r="N22" s="10" t="s">
        <v>563</v>
      </c>
      <c r="O22" s="10"/>
    </row>
    <row r="23" spans="1:15">
      <c r="C23" s="133">
        <f>C21-1</f>
        <v>176</v>
      </c>
      <c r="D23" s="113">
        <f>[1]!srIx2Val($C$15,C23,1)</f>
        <v>10</v>
      </c>
      <c r="E23" s="737">
        <f>[1]!srIx2Val($C$15,C23,5)</f>
        <v>130.47</v>
      </c>
      <c r="F23" s="348"/>
      <c r="G23" s="133">
        <f>G21-1</f>
        <v>175</v>
      </c>
      <c r="H23" s="113">
        <f>[1]!srIx2Val($C$15,G23,1)</f>
        <v>9.375</v>
      </c>
      <c r="I23" s="737">
        <f>[1]!srIx2Val($C$15,G23,5)</f>
        <v>119.62</v>
      </c>
      <c r="J23" s="348"/>
      <c r="K23" s="825" t="s">
        <v>527</v>
      </c>
      <c r="L23" s="836" t="s">
        <v>512</v>
      </c>
      <c r="M23" s="821" t="s">
        <v>560</v>
      </c>
      <c r="N23" s="10"/>
      <c r="O23" s="10"/>
    </row>
    <row r="24" spans="1:15">
      <c r="B24" s="733" t="s">
        <v>457</v>
      </c>
      <c r="C24" s="320">
        <f>C21</f>
        <v>177</v>
      </c>
      <c r="D24" s="742">
        <f>[1]!srIx2Val($C$15,C24,1)</f>
        <v>11.25</v>
      </c>
      <c r="E24" s="743">
        <f>[1]!srIx2Val($C$15,C24,5)</f>
        <v>153.35</v>
      </c>
      <c r="F24" s="348"/>
      <c r="G24" s="320">
        <f>G21</f>
        <v>176</v>
      </c>
      <c r="H24" s="742">
        <f>[1]!srIx2Val($C$15,G24,1)</f>
        <v>10</v>
      </c>
      <c r="I24" s="743">
        <f>[1]!srIx2Val($C$15,G24,5)</f>
        <v>130.47</v>
      </c>
      <c r="J24" s="348"/>
      <c r="K24" s="825" t="s">
        <v>527</v>
      </c>
      <c r="L24" s="836" t="s">
        <v>515</v>
      </c>
      <c r="M24" s="835" t="s">
        <v>530</v>
      </c>
      <c r="N24" s="10"/>
      <c r="O24" s="10"/>
    </row>
    <row r="25" spans="1:15" s="9" customFormat="1">
      <c r="B25" s="11"/>
      <c r="C25" s="134">
        <f>C21+1</f>
        <v>178</v>
      </c>
      <c r="D25" s="113">
        <f>[1]!srIx2Val($C$15,C25,1)</f>
        <v>12.5</v>
      </c>
      <c r="E25" s="737">
        <f>[1]!srIx2Val($C$15,C25,5)</f>
        <v>177.81</v>
      </c>
      <c r="F25" s="348"/>
      <c r="G25" s="134">
        <f>G21+1</f>
        <v>177</v>
      </c>
      <c r="H25" s="113">
        <f>[1]!srIx2Val($C$15,G25,1)</f>
        <v>11.25</v>
      </c>
      <c r="I25" s="737">
        <f>[1]!srIx2Val($C$15,G25,5)</f>
        <v>153.35</v>
      </c>
      <c r="J25" s="348"/>
      <c r="N25" s="88"/>
      <c r="O25" s="88"/>
    </row>
    <row r="26" spans="1:15" s="9" customFormat="1">
      <c r="C26" s="148">
        <f>C21+2</f>
        <v>179</v>
      </c>
      <c r="D26" s="116">
        <f>[1]!srIx2Val($C$15,C26,1)</f>
        <v>13.75</v>
      </c>
      <c r="E26" s="738">
        <f>[1]!srIx2Val($C$15,C26,5)</f>
        <v>203.82</v>
      </c>
      <c r="F26" s="35"/>
      <c r="G26" s="148">
        <f>G21+2</f>
        <v>178</v>
      </c>
      <c r="H26" s="116">
        <f>[1]!srIx2Val($C$15,G26,1)</f>
        <v>12.5</v>
      </c>
      <c r="I26" s="738">
        <f>[1]!srIx2Val($C$15,G26,5)</f>
        <v>177.81</v>
      </c>
      <c r="J26" s="35"/>
      <c r="K26" s="29"/>
      <c r="L26" s="814"/>
      <c r="M26" s="821"/>
    </row>
    <row r="27" spans="1:15" s="9" customFormat="1">
      <c r="F27" s="35"/>
      <c r="J27" s="35"/>
      <c r="K27" s="28"/>
      <c r="L27" s="814"/>
      <c r="M27" s="31"/>
    </row>
    <row r="28" spans="1:15" s="9" customFormat="1">
      <c r="C28" s="146" t="s">
        <v>548</v>
      </c>
      <c r="F28" s="35"/>
      <c r="G28" s="146" t="s">
        <v>545</v>
      </c>
      <c r="J28" s="35"/>
      <c r="K28" s="28"/>
      <c r="L28" s="814"/>
      <c r="M28" s="31"/>
    </row>
    <row r="29" spans="1:15" s="9" customFormat="1">
      <c r="C29" s="145" t="s">
        <v>475</v>
      </c>
      <c r="E29" s="834">
        <f>E21-E24</f>
        <v>-17.879999999999995</v>
      </c>
      <c r="F29" s="530"/>
      <c r="G29" s="145" t="s">
        <v>475</v>
      </c>
      <c r="H29" s="350"/>
      <c r="I29" s="829">
        <f>I21-I24</f>
        <v>0</v>
      </c>
      <c r="J29" s="530"/>
      <c r="K29" s="28"/>
      <c r="L29" s="28"/>
      <c r="M29" s="31"/>
    </row>
    <row r="30" spans="1:15" s="9" customFormat="1">
      <c r="C30" s="497" t="s">
        <v>131</v>
      </c>
      <c r="D30" s="762">
        <f>D24-D23</f>
        <v>1.25</v>
      </c>
      <c r="E30" s="739">
        <f>E24-E23</f>
        <v>22.879999999999995</v>
      </c>
      <c r="F30" s="530"/>
      <c r="G30" s="96" t="s">
        <v>131</v>
      </c>
      <c r="H30" s="762">
        <f>H24-H23</f>
        <v>0.625</v>
      </c>
      <c r="I30" s="739">
        <f>I24-I23</f>
        <v>10.849999999999994</v>
      </c>
      <c r="J30" s="530"/>
      <c r="K30" s="28"/>
      <c r="L30" s="814"/>
      <c r="M30" s="31"/>
    </row>
    <row r="31" spans="1:15" s="9" customFormat="1">
      <c r="C31" s="368" t="s">
        <v>132</v>
      </c>
      <c r="D31" s="832">
        <f>D30/E30</f>
        <v>5.4632867132867143E-2</v>
      </c>
      <c r="E31" s="156"/>
      <c r="F31" s="726"/>
      <c r="G31" s="91" t="s">
        <v>132</v>
      </c>
      <c r="H31" s="92"/>
      <c r="I31" s="740">
        <f>I30/H30</f>
        <v>17.359999999999992</v>
      </c>
      <c r="J31" s="726"/>
      <c r="K31" s="28"/>
      <c r="L31" s="814"/>
      <c r="M31" s="28"/>
    </row>
    <row r="32" spans="1:15" s="9" customFormat="1">
      <c r="A32" s="123"/>
      <c r="C32" s="828" t="s">
        <v>133</v>
      </c>
      <c r="D32" s="833">
        <f>D24+D31*E29</f>
        <v>10.273164335664335</v>
      </c>
      <c r="E32" s="357"/>
      <c r="F32" s="732" t="s">
        <v>555</v>
      </c>
      <c r="G32" s="731" t="s">
        <v>133</v>
      </c>
      <c r="H32" s="610"/>
      <c r="I32" s="801">
        <f>I24+I31*I29</f>
        <v>130.47</v>
      </c>
      <c r="K32" s="28"/>
      <c r="L32" s="814"/>
      <c r="M32" s="28"/>
    </row>
    <row r="33" spans="1:13" s="124" customFormat="1">
      <c r="B33" s="9"/>
      <c r="C33" s="487"/>
      <c r="D33" s="35"/>
      <c r="E33" s="35"/>
      <c r="F33" s="744" t="s">
        <v>546</v>
      </c>
      <c r="G33" s="725"/>
      <c r="I33" s="732" t="s">
        <v>460</v>
      </c>
      <c r="J33" s="9"/>
      <c r="K33" s="826"/>
      <c r="L33" s="826"/>
      <c r="M33" s="826"/>
    </row>
    <row r="34" spans="1:13" s="9" customFormat="1">
      <c r="A34" s="88"/>
      <c r="B34" s="124"/>
      <c r="C34" s="720"/>
      <c r="D34" s="749"/>
      <c r="E34" s="749"/>
      <c r="F34" s="800">
        <f>I32+F15</f>
        <v>135.47</v>
      </c>
      <c r="G34" s="727"/>
      <c r="H34" s="727"/>
      <c r="I34" s="727"/>
      <c r="J34" s="124"/>
      <c r="K34" s="28"/>
      <c r="L34" s="28"/>
      <c r="M34" s="28"/>
    </row>
    <row r="35" spans="1:13" s="9" customFormat="1">
      <c r="A35" s="88"/>
      <c r="B35" s="720"/>
      <c r="C35" s="146" t="s">
        <v>471</v>
      </c>
      <c r="D35" s="88"/>
      <c r="E35" s="88"/>
      <c r="F35" s="35"/>
      <c r="G35" s="146" t="s">
        <v>471</v>
      </c>
      <c r="H35" s="35"/>
      <c r="I35" s="35"/>
      <c r="K35" s="28"/>
      <c r="L35" s="28"/>
      <c r="M35" s="28"/>
    </row>
    <row r="36" spans="1:13" s="9" customFormat="1">
      <c r="A36" s="88"/>
      <c r="B36" s="599"/>
      <c r="C36" s="758"/>
      <c r="D36" s="107"/>
      <c r="E36" s="108"/>
      <c r="F36" s="721"/>
      <c r="G36" s="721"/>
      <c r="H36" s="721"/>
      <c r="I36" s="721"/>
      <c r="K36" s="28"/>
      <c r="L36" s="28"/>
      <c r="M36" s="28"/>
    </row>
    <row r="37" spans="1:13" s="9" customFormat="1">
      <c r="A37" s="88"/>
      <c r="B37" s="599"/>
      <c r="C37" s="88"/>
      <c r="D37" s="107"/>
      <c r="E37" s="108"/>
      <c r="F37" s="88"/>
      <c r="G37" s="88"/>
      <c r="H37" s="88"/>
      <c r="I37" s="88"/>
      <c r="K37" s="814"/>
      <c r="L37" s="785"/>
      <c r="M37" s="815"/>
    </row>
    <row r="38" spans="1:13" s="9" customFormat="1">
      <c r="A38" s="88"/>
      <c r="B38" s="599"/>
      <c r="C38" s="461"/>
      <c r="D38" s="88"/>
      <c r="E38" s="88"/>
      <c r="F38" s="88"/>
      <c r="G38" s="88"/>
      <c r="H38" s="88"/>
      <c r="I38" s="88"/>
      <c r="K38" s="814"/>
      <c r="L38" s="814"/>
      <c r="M38" s="814"/>
    </row>
    <row r="39" spans="1:13" s="9" customFormat="1">
      <c r="A39" s="88"/>
      <c r="B39" s="599"/>
      <c r="C39" s="88"/>
      <c r="D39" s="734"/>
      <c r="E39" s="108"/>
      <c r="F39" s="88"/>
      <c r="G39" s="88"/>
      <c r="H39" s="88"/>
      <c r="I39" s="88"/>
      <c r="K39" s="28"/>
      <c r="L39" s="29"/>
      <c r="M39" s="28"/>
    </row>
    <row r="40" spans="1:13" s="9" customFormat="1">
      <c r="A40" s="88"/>
      <c r="B40" s="599"/>
      <c r="C40" s="758"/>
      <c r="D40" s="734"/>
      <c r="E40" s="108"/>
      <c r="F40" s="155"/>
      <c r="G40" s="88"/>
      <c r="H40" s="88"/>
      <c r="I40" s="88"/>
      <c r="K40" s="28"/>
      <c r="L40" s="28"/>
      <c r="M40" s="28"/>
    </row>
    <row r="41" spans="1:13">
      <c r="A41" s="10"/>
      <c r="B41" s="599"/>
      <c r="C41" s="107"/>
      <c r="D41" s="10"/>
      <c r="E41" s="10"/>
      <c r="F41" s="157"/>
      <c r="G41" s="150"/>
      <c r="H41" s="10"/>
      <c r="I41" s="10"/>
      <c r="K41" s="9"/>
      <c r="L41" s="9"/>
      <c r="M41" s="9"/>
    </row>
    <row r="42" spans="1:13">
      <c r="A42" s="10"/>
      <c r="B42" s="599"/>
      <c r="C42" s="107"/>
      <c r="D42" s="10"/>
      <c r="E42" s="10"/>
      <c r="F42" s="10"/>
      <c r="G42" s="157"/>
      <c r="H42" s="150"/>
      <c r="I42" s="10"/>
    </row>
    <row r="43" spans="1:13">
      <c r="A43" s="10"/>
      <c r="B43" s="599"/>
      <c r="C43" s="107"/>
      <c r="D43" s="10"/>
      <c r="E43" s="10"/>
      <c r="F43" s="10"/>
      <c r="G43" s="10"/>
      <c r="H43" s="157"/>
      <c r="I43" s="150"/>
    </row>
  </sheetData>
  <phoneticPr fontId="24"/>
  <pageMargins left="0.23622047244094491" right="0.23622047244094491" top="0.39370078740157483" bottom="0.39370078740157483" header="0.31496062992125984" footer="0.31496062992125984"/>
  <pageSetup paperSize="9" scale="90" fitToHeight="0" pageOrder="overThenDown" orientation="portrait" r:id="rId1"/>
  <headerFooter>
    <oddHeader>&amp;L&amp;F&amp;A</oddHeader>
    <oddFooter>&amp;C&amp;P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V85"/>
  <sheetViews>
    <sheetView zoomScale="80" zoomScaleNormal="80" workbookViewId="0">
      <selection activeCell="M47" sqref="M47"/>
    </sheetView>
  </sheetViews>
  <sheetFormatPr defaultRowHeight="13.5"/>
  <cols>
    <col min="1" max="1" width="2.375" style="11" customWidth="1"/>
    <col min="2" max="2" width="4.375" style="11" customWidth="1"/>
    <col min="3" max="3" width="5.75" style="11" customWidth="1"/>
    <col min="4" max="4" width="14.625" style="11" customWidth="1"/>
    <col min="5" max="5" width="9.625" style="11" customWidth="1"/>
    <col min="6" max="6" width="3.625" style="11" customWidth="1"/>
    <col min="7" max="7" width="9.625" style="11" customWidth="1"/>
    <col min="8" max="8" width="3.625" style="11" customWidth="1"/>
    <col min="9" max="10" width="9.625" style="11" customWidth="1"/>
    <col min="11" max="11" width="4.75" style="11" customWidth="1"/>
    <col min="12" max="12" width="14.625" style="11" customWidth="1"/>
    <col min="13" max="13" width="9.625" style="11" customWidth="1"/>
    <col min="14" max="14" width="3.625" style="11" customWidth="1"/>
    <col min="15" max="15" width="9.625" style="11" customWidth="1"/>
    <col min="16" max="17" width="7.625" style="11" customWidth="1"/>
    <col min="18" max="18" width="3.625" style="11" customWidth="1"/>
    <col min="19" max="20" width="9.625" style="11" customWidth="1"/>
    <col min="21" max="21" width="2.75" style="11" customWidth="1"/>
    <col min="22" max="16384" width="9" style="11"/>
  </cols>
  <sheetData>
    <row r="1" spans="2:22" ht="9" customHeight="1"/>
    <row r="2" spans="2:22" s="32" customFormat="1" ht="18.75">
      <c r="B2" s="33" t="str">
        <f>BkTitle1</f>
        <v>SRIMfit_dbg</v>
      </c>
      <c r="F2" s="61" t="str">
        <f>BkTitle2</f>
        <v>AddInマクロ版 : セル内の式 = srFuncName()</v>
      </c>
    </row>
    <row r="3" spans="2:22" ht="9.75" customHeight="1"/>
    <row r="4" spans="2:22" ht="14.25">
      <c r="B4" s="210" t="s">
        <v>540</v>
      </c>
      <c r="G4" s="62" t="s">
        <v>37</v>
      </c>
      <c r="H4" s="9" t="s">
        <v>38</v>
      </c>
      <c r="L4" s="87" t="s">
        <v>44</v>
      </c>
      <c r="P4" s="8" t="s">
        <v>173</v>
      </c>
    </row>
    <row r="5" spans="2:22">
      <c r="B5" s="9"/>
      <c r="C5" s="9" t="s">
        <v>148</v>
      </c>
      <c r="D5" s="9"/>
      <c r="E5" s="9"/>
      <c r="F5" s="9"/>
      <c r="G5" s="63" t="s">
        <v>94</v>
      </c>
      <c r="H5" s="9" t="s">
        <v>39</v>
      </c>
      <c r="I5" s="9"/>
      <c r="J5" s="9"/>
      <c r="K5" s="9"/>
      <c r="L5" s="62" t="s">
        <v>46</v>
      </c>
      <c r="M5" s="9"/>
      <c r="N5" s="9"/>
      <c r="O5" s="9"/>
      <c r="P5" s="241" t="s">
        <v>165</v>
      </c>
      <c r="Q5" s="242" t="s">
        <v>166</v>
      </c>
      <c r="R5" s="9"/>
      <c r="S5" s="9"/>
      <c r="T5" s="9"/>
      <c r="U5" s="9"/>
      <c r="V5" s="9"/>
    </row>
    <row r="6" spans="2:22">
      <c r="C6" s="9"/>
      <c r="D6" s="9"/>
      <c r="E6" s="9"/>
      <c r="F6" s="9"/>
      <c r="G6" s="9"/>
      <c r="H6" s="9"/>
      <c r="I6" s="9"/>
      <c r="J6" s="9"/>
      <c r="K6" s="9"/>
      <c r="L6" s="183" t="s">
        <v>54</v>
      </c>
      <c r="M6" s="9"/>
      <c r="N6" s="9"/>
      <c r="O6" s="220" t="s">
        <v>167</v>
      </c>
      <c r="P6" s="237">
        <f>[1]!srInfoTrgPtbl(L14)</f>
        <v>101325</v>
      </c>
      <c r="Q6" s="238">
        <f>[1]!srInfoTrgTtbl(L14)</f>
        <v>20</v>
      </c>
      <c r="R6" s="235" t="s">
        <v>168</v>
      </c>
      <c r="S6" s="9"/>
      <c r="T6" s="9"/>
      <c r="U6" s="9"/>
      <c r="V6" s="9"/>
    </row>
    <row r="7" spans="2:22">
      <c r="B7" s="9" t="s">
        <v>40</v>
      </c>
      <c r="C7" s="9"/>
      <c r="D7" s="9"/>
      <c r="E7" s="9"/>
      <c r="F7" s="9"/>
      <c r="G7" s="9"/>
      <c r="H7" s="9"/>
      <c r="I7" s="9"/>
      <c r="J7" s="9"/>
      <c r="K7" s="9"/>
      <c r="L7" s="214" t="s">
        <v>57</v>
      </c>
      <c r="M7" s="9"/>
      <c r="N7" s="9"/>
      <c r="O7" s="9"/>
      <c r="P7" s="239">
        <f>[1]!srThkStd(L14,P6,Q6)</f>
        <v>1</v>
      </c>
      <c r="Q7" s="240" t="s">
        <v>163</v>
      </c>
      <c r="R7" s="9"/>
      <c r="S7" s="9"/>
      <c r="T7" s="9"/>
      <c r="U7" s="9"/>
      <c r="V7" s="9"/>
    </row>
    <row r="8" spans="2:22">
      <c r="B8" s="9"/>
      <c r="C8" s="9"/>
      <c r="D8" s="9"/>
      <c r="E8" s="9"/>
      <c r="F8" s="9"/>
      <c r="G8" s="9"/>
      <c r="H8" s="9"/>
      <c r="I8" s="9"/>
      <c r="J8" s="9"/>
      <c r="K8" s="9"/>
      <c r="L8" s="214"/>
      <c r="M8" s="9"/>
      <c r="N8" s="9"/>
      <c r="O8" s="9"/>
      <c r="P8" s="9"/>
      <c r="Q8" s="9"/>
      <c r="R8" s="9"/>
      <c r="S8" s="9"/>
      <c r="T8" s="9"/>
      <c r="U8" s="9"/>
      <c r="V8" s="9"/>
    </row>
    <row r="9" spans="2:22" ht="14.25">
      <c r="B9" s="9"/>
      <c r="C9" s="232"/>
      <c r="D9" s="334" t="s">
        <v>150</v>
      </c>
      <c r="E9" s="88" t="s">
        <v>155</v>
      </c>
      <c r="F9" s="169"/>
      <c r="G9" s="169"/>
      <c r="H9" s="169"/>
      <c r="I9" s="169"/>
      <c r="J9" s="169"/>
      <c r="K9" s="232"/>
      <c r="L9" s="334" t="s">
        <v>159</v>
      </c>
      <c r="M9" s="88" t="s">
        <v>160</v>
      </c>
      <c r="N9" s="169"/>
      <c r="O9" s="169"/>
      <c r="P9" s="169"/>
      <c r="Q9" s="169"/>
      <c r="R9" s="169"/>
      <c r="S9" s="169"/>
      <c r="T9" s="169"/>
      <c r="U9" s="9"/>
      <c r="V9" s="9"/>
    </row>
    <row r="10" spans="2:22">
      <c r="B10" s="9"/>
      <c r="C10" s="9"/>
      <c r="D10" s="170"/>
      <c r="E10" s="169"/>
      <c r="F10" s="9"/>
      <c r="G10" s="169"/>
      <c r="H10" s="169"/>
      <c r="I10" s="169"/>
      <c r="J10" s="169"/>
      <c r="K10" s="9"/>
      <c r="L10" s="170"/>
      <c r="M10" s="169" t="s">
        <v>169</v>
      </c>
      <c r="N10" s="9"/>
      <c r="O10" s="169"/>
      <c r="P10" s="169"/>
      <c r="Q10" s="169"/>
      <c r="R10" s="169"/>
      <c r="S10" s="169"/>
      <c r="T10" s="169"/>
      <c r="U10" s="9"/>
      <c r="V10" s="9"/>
    </row>
    <row r="11" spans="2:22">
      <c r="B11" s="9"/>
      <c r="C11" s="127"/>
      <c r="D11" s="112"/>
      <c r="E11" s="171" t="str">
        <f>[1]!srElmNm([1]!srInfoIonZ(D14))&amp;"-"</f>
        <v>Ar-</v>
      </c>
      <c r="F11" s="172">
        <f>[1]!srInfoIonA(D14)</f>
        <v>40</v>
      </c>
      <c r="G11" s="186" t="str">
        <f>[1]!srInfoTrgName(D14)</f>
        <v>Si</v>
      </c>
      <c r="H11" s="187"/>
      <c r="I11" s="188"/>
      <c r="J11" s="169"/>
      <c r="K11" s="127"/>
      <c r="L11" s="112"/>
      <c r="M11" s="171" t="str">
        <f>[1]!srElmNm([1]!srInfoIonZ(L14))&amp;"-"</f>
        <v>Ar-</v>
      </c>
      <c r="N11" s="172">
        <f>[1]!srInfoIonA(L14)</f>
        <v>40</v>
      </c>
      <c r="O11" s="186" t="str">
        <f>[1]!srInfoTrgName(L14)</f>
        <v>Air</v>
      </c>
      <c r="P11" s="359" t="s">
        <v>161</v>
      </c>
      <c r="Q11" s="233" t="b">
        <f>[1]!srInfoTgIsGas(L14)</f>
        <v>1</v>
      </c>
      <c r="R11" s="187"/>
      <c r="S11" s="188"/>
      <c r="T11" s="169"/>
      <c r="U11" s="9"/>
      <c r="V11" s="9"/>
    </row>
    <row r="12" spans="2:22">
      <c r="B12" s="9"/>
      <c r="C12" s="92"/>
      <c r="D12" s="156"/>
      <c r="E12" s="87" t="s">
        <v>42</v>
      </c>
      <c r="F12" s="169"/>
      <c r="G12" s="189" t="s">
        <v>63</v>
      </c>
      <c r="H12" s="169"/>
      <c r="I12" s="223" t="s">
        <v>64</v>
      </c>
      <c r="J12" s="87"/>
      <c r="K12" s="92"/>
      <c r="L12" s="156"/>
      <c r="M12" s="87" t="s">
        <v>42</v>
      </c>
      <c r="N12" s="169"/>
      <c r="O12" s="65" t="s">
        <v>96</v>
      </c>
      <c r="P12" s="65" t="s">
        <v>97</v>
      </c>
      <c r="Q12" s="65" t="s">
        <v>99</v>
      </c>
      <c r="R12" s="169"/>
      <c r="S12" s="223" t="s">
        <v>64</v>
      </c>
      <c r="T12" s="87"/>
      <c r="U12" s="9"/>
      <c r="V12" s="9"/>
    </row>
    <row r="13" spans="2:22">
      <c r="B13" s="9"/>
      <c r="C13" s="92"/>
      <c r="D13" s="156"/>
      <c r="E13" s="87" t="s">
        <v>0</v>
      </c>
      <c r="F13" s="169"/>
      <c r="G13" s="189" t="s">
        <v>45</v>
      </c>
      <c r="H13" s="169"/>
      <c r="I13" s="223" t="s">
        <v>0</v>
      </c>
      <c r="J13" s="87"/>
      <c r="K13" s="92"/>
      <c r="L13" s="156"/>
      <c r="M13" s="87" t="s">
        <v>0</v>
      </c>
      <c r="N13" s="169"/>
      <c r="O13" s="72" t="s">
        <v>100</v>
      </c>
      <c r="P13" s="66" t="s">
        <v>101</v>
      </c>
      <c r="Q13" s="66" t="s">
        <v>102</v>
      </c>
      <c r="R13" s="169"/>
      <c r="S13" s="223" t="s">
        <v>0</v>
      </c>
      <c r="T13" s="87"/>
      <c r="U13" s="9"/>
      <c r="V13" s="9"/>
    </row>
    <row r="14" spans="2:22">
      <c r="B14" s="9"/>
      <c r="C14" s="173" t="s">
        <v>149</v>
      </c>
      <c r="D14" s="174" t="s">
        <v>48</v>
      </c>
      <c r="E14" s="247">
        <v>10</v>
      </c>
      <c r="F14" s="176" t="s">
        <v>49</v>
      </c>
      <c r="G14" s="191">
        <v>-20</v>
      </c>
      <c r="H14" s="176" t="s">
        <v>49</v>
      </c>
      <c r="I14" s="224">
        <f>[1]!srEnew(D14,E14,G14)</f>
        <v>11.092657342657343</v>
      </c>
      <c r="J14" s="228">
        <f>I14</f>
        <v>11.092657342657343</v>
      </c>
      <c r="K14" s="173" t="s">
        <v>149</v>
      </c>
      <c r="L14" s="174" t="s">
        <v>172</v>
      </c>
      <c r="M14" s="247">
        <v>10</v>
      </c>
      <c r="N14" s="176" t="s">
        <v>49</v>
      </c>
      <c r="O14" s="67">
        <v>100</v>
      </c>
      <c r="P14" s="73">
        <v>101000</v>
      </c>
      <c r="Q14" s="67">
        <v>25</v>
      </c>
      <c r="R14" s="176" t="s">
        <v>49</v>
      </c>
      <c r="S14" s="224">
        <f>[1]!srEnewGas(L14,M14,O14,P14,Q14)</f>
        <v>6.3127245855933296</v>
      </c>
      <c r="T14" s="228">
        <f>S14</f>
        <v>6.3127245855933296</v>
      </c>
      <c r="U14" s="9"/>
      <c r="V14" s="9"/>
    </row>
    <row r="15" spans="2:22" s="70" customFormat="1">
      <c r="B15" s="217"/>
      <c r="C15" s="433"/>
      <c r="D15" s="434"/>
      <c r="E15" s="435"/>
      <c r="F15" s="436"/>
      <c r="G15" s="437" t="s">
        <v>170</v>
      </c>
      <c r="H15" s="438"/>
      <c r="I15" s="439" t="s">
        <v>157</v>
      </c>
      <c r="J15" s="231"/>
      <c r="K15" s="71"/>
      <c r="L15" s="229"/>
      <c r="M15" s="230"/>
      <c r="N15" s="203"/>
      <c r="O15" s="244" t="s">
        <v>170</v>
      </c>
      <c r="P15" s="204"/>
      <c r="Q15" s="204"/>
      <c r="R15" s="203"/>
      <c r="S15" s="211" t="s">
        <v>162</v>
      </c>
      <c r="T15" s="231"/>
      <c r="U15" s="217"/>
      <c r="V15" s="217"/>
    </row>
    <row r="16" spans="2:22" s="70" customFormat="1">
      <c r="B16" s="217"/>
      <c r="C16" s="440"/>
      <c r="D16" s="229"/>
      <c r="E16" s="230"/>
      <c r="F16" s="441" t="s">
        <v>171</v>
      </c>
      <c r="G16" s="206">
        <f>[1]!srum2mg(D14,G14)</f>
        <v>-4.6424000000000003</v>
      </c>
      <c r="H16" s="243"/>
      <c r="I16" s="442"/>
      <c r="J16" s="231"/>
      <c r="K16" s="71"/>
      <c r="L16" s="229"/>
      <c r="M16" s="230"/>
      <c r="N16" s="220" t="s">
        <v>174</v>
      </c>
      <c r="O16" s="206">
        <f>[1]!srum2mg(L14,O14*1000)</f>
        <v>12.048</v>
      </c>
      <c r="P16" s="204"/>
      <c r="Q16" s="204"/>
      <c r="R16" s="203"/>
      <c r="S16" s="211"/>
      <c r="T16" s="231"/>
      <c r="U16" s="217"/>
      <c r="V16" s="217"/>
    </row>
    <row r="17" spans="2:22">
      <c r="B17" s="9"/>
      <c r="C17" s="92"/>
      <c r="D17" s="88"/>
      <c r="E17" s="87" t="s">
        <v>92</v>
      </c>
      <c r="F17" s="88"/>
      <c r="G17" s="189" t="s">
        <v>63</v>
      </c>
      <c r="H17" s="88"/>
      <c r="I17" s="190" t="s">
        <v>93</v>
      </c>
      <c r="J17" s="88"/>
      <c r="K17" s="9"/>
      <c r="L17" s="9"/>
      <c r="M17" s="138" t="s">
        <v>92</v>
      </c>
      <c r="N17" s="9"/>
      <c r="O17" s="189" t="s">
        <v>63</v>
      </c>
      <c r="Q17" s="9"/>
      <c r="R17" s="9"/>
      <c r="S17" s="138" t="s">
        <v>93</v>
      </c>
      <c r="T17" s="88"/>
      <c r="U17" s="9"/>
      <c r="V17" s="9"/>
    </row>
    <row r="18" spans="2:22">
      <c r="B18" s="35"/>
      <c r="C18" s="440"/>
      <c r="D18" s="208"/>
      <c r="E18" s="189" t="s">
        <v>45</v>
      </c>
      <c r="F18" s="203"/>
      <c r="G18" s="189" t="s">
        <v>45</v>
      </c>
      <c r="H18" s="203"/>
      <c r="I18" s="443" t="s">
        <v>45</v>
      </c>
      <c r="J18" s="207"/>
      <c r="K18" s="71"/>
      <c r="L18" s="208"/>
      <c r="M18" s="189" t="s">
        <v>45</v>
      </c>
      <c r="N18" s="203"/>
      <c r="O18" s="189" t="s">
        <v>45</v>
      </c>
      <c r="P18" s="234">
        <f>[1]!srThkStd(L14,P14,Q14)</f>
        <v>0.98007620725868572</v>
      </c>
      <c r="Q18" s="235" t="s">
        <v>163</v>
      </c>
      <c r="R18" s="203"/>
      <c r="S18" s="189" t="s">
        <v>45</v>
      </c>
      <c r="T18" s="207"/>
      <c r="U18" s="9"/>
      <c r="V18" s="9"/>
    </row>
    <row r="19" spans="2:22">
      <c r="B19" s="35"/>
      <c r="C19" s="444"/>
      <c r="D19" s="441" t="s">
        <v>152</v>
      </c>
      <c r="E19" s="245">
        <f>[1]!srE2Rng(D14,E14)</f>
        <v>130.47</v>
      </c>
      <c r="F19" s="41"/>
      <c r="G19" s="88"/>
      <c r="H19" s="88"/>
      <c r="I19" s="445">
        <f>IF(I14=0,0,[1]!srE2Rng(D14,I14))</f>
        <v>150.47</v>
      </c>
      <c r="J19" s="228">
        <f>I19</f>
        <v>150.47</v>
      </c>
      <c r="K19" s="35"/>
      <c r="L19" s="220" t="s">
        <v>152</v>
      </c>
      <c r="M19" s="245">
        <f>[1]!srE2Rng(L14,M14)</f>
        <v>217440</v>
      </c>
      <c r="N19" s="41"/>
      <c r="O19" s="236" t="s">
        <v>164</v>
      </c>
      <c r="P19" s="9"/>
      <c r="Q19" s="9"/>
      <c r="R19" s="9"/>
      <c r="S19" s="225">
        <f>IF(S14=0,0,[1]!srE2Rng(L14,S14))</f>
        <v>119432.37927413142</v>
      </c>
      <c r="T19" s="228">
        <f>S19</f>
        <v>119432.37927413142</v>
      </c>
      <c r="U19" s="9"/>
      <c r="V19" s="9"/>
    </row>
    <row r="20" spans="2:22">
      <c r="B20" s="35"/>
      <c r="C20" s="446"/>
      <c r="D20" s="347"/>
      <c r="E20" s="447">
        <f>G20+I19</f>
        <v>130.47</v>
      </c>
      <c r="F20" s="448" t="s">
        <v>484</v>
      </c>
      <c r="G20" s="449">
        <f>G14</f>
        <v>-20</v>
      </c>
      <c r="H20" s="450" t="s">
        <v>151</v>
      </c>
      <c r="I20" s="451">
        <f>I19</f>
        <v>150.47</v>
      </c>
      <c r="J20" s="35"/>
      <c r="K20" s="35"/>
      <c r="L20" s="35"/>
      <c r="M20" s="310">
        <f>O20+S19</f>
        <v>217440</v>
      </c>
      <c r="N20" s="41" t="s">
        <v>484</v>
      </c>
      <c r="O20" s="218">
        <f>O14*1000*P18</f>
        <v>98007.620725868575</v>
      </c>
      <c r="P20" s="218"/>
      <c r="Q20" s="218"/>
      <c r="R20" s="221" t="s">
        <v>151</v>
      </c>
      <c r="S20" s="222">
        <f>S19</f>
        <v>119432.37927413142</v>
      </c>
      <c r="T20" s="35"/>
      <c r="U20" s="9"/>
      <c r="V20" s="9"/>
    </row>
    <row r="21" spans="2:22">
      <c r="B21" s="35"/>
      <c r="C21" s="35"/>
      <c r="D21" s="35"/>
      <c r="E21" s="219"/>
      <c r="F21" s="41"/>
      <c r="G21" s="218"/>
      <c r="H21" s="221"/>
      <c r="I21" s="222"/>
      <c r="J21" s="35"/>
      <c r="K21" s="35"/>
      <c r="L21" s="35"/>
      <c r="M21" s="219"/>
      <c r="N21" s="41"/>
      <c r="O21" s="218"/>
      <c r="P21" s="218"/>
      <c r="Q21" s="218"/>
      <c r="R21" s="221"/>
      <c r="S21" s="222"/>
      <c r="T21" s="35"/>
      <c r="U21" s="9"/>
      <c r="V21" s="9"/>
    </row>
    <row r="22" spans="2:22" ht="14.25">
      <c r="B22" s="9"/>
      <c r="C22" s="232"/>
      <c r="D22" s="334" t="s">
        <v>153</v>
      </c>
      <c r="E22" s="88" t="s">
        <v>156</v>
      </c>
      <c r="F22" s="169"/>
      <c r="G22" s="169"/>
      <c r="H22" s="169"/>
      <c r="I22" s="169"/>
      <c r="J22" s="169"/>
      <c r="K22" s="232"/>
      <c r="L22" s="334" t="s">
        <v>175</v>
      </c>
      <c r="M22" s="88" t="s">
        <v>176</v>
      </c>
      <c r="N22" s="169"/>
      <c r="O22" s="169"/>
      <c r="P22" s="169"/>
      <c r="Q22" s="169"/>
      <c r="R22" s="169"/>
      <c r="S22" s="169"/>
      <c r="T22" s="169"/>
      <c r="U22" s="9"/>
      <c r="V22" s="9"/>
    </row>
    <row r="23" spans="2:22">
      <c r="B23" s="9"/>
      <c r="C23" s="9"/>
      <c r="D23" s="170"/>
      <c r="E23" s="169"/>
      <c r="F23" s="9"/>
      <c r="G23" s="169"/>
      <c r="H23" s="169"/>
      <c r="I23" s="169"/>
      <c r="J23" s="169"/>
      <c r="K23" s="9"/>
      <c r="L23" s="170"/>
      <c r="M23" s="169" t="s">
        <v>169</v>
      </c>
      <c r="N23" s="9"/>
      <c r="O23" s="169"/>
      <c r="P23" s="169"/>
      <c r="Q23" s="169"/>
      <c r="R23" s="169"/>
      <c r="S23" s="169"/>
      <c r="T23" s="169"/>
      <c r="U23" s="9"/>
      <c r="V23" s="9"/>
    </row>
    <row r="24" spans="2:22">
      <c r="B24" s="9"/>
      <c r="C24" s="127"/>
      <c r="D24" s="112"/>
      <c r="E24" s="171" t="str">
        <f>[1]!srElmNm([1]!srInfoIonZ(D27))&amp;"-"</f>
        <v>Ar-</v>
      </c>
      <c r="F24" s="172">
        <f>[1]!srInfoIonA(D27)</f>
        <v>40</v>
      </c>
      <c r="G24" s="186" t="str">
        <f>[1]!srInfoTrgName(D27)</f>
        <v>Si</v>
      </c>
      <c r="H24" s="187"/>
      <c r="I24" s="188"/>
      <c r="J24" s="169"/>
      <c r="K24" s="127"/>
      <c r="L24" s="112"/>
      <c r="M24" s="171" t="str">
        <f>[1]!srElmNm([1]!srInfoIonZ(L27))&amp;"-"</f>
        <v>Ar-</v>
      </c>
      <c r="N24" s="172">
        <f>[1]!srInfoIonA(L27)</f>
        <v>40</v>
      </c>
      <c r="O24" s="186" t="str">
        <f>[1]!srInfoTrgName(L27)</f>
        <v>Air</v>
      </c>
      <c r="P24" s="359" t="s">
        <v>161</v>
      </c>
      <c r="Q24" s="233" t="b">
        <f>[1]!srInfoTgIsGas(L27)</f>
        <v>1</v>
      </c>
      <c r="R24" s="187"/>
      <c r="S24" s="188"/>
      <c r="T24" s="169"/>
      <c r="U24" s="9"/>
      <c r="V24" s="9"/>
    </row>
    <row r="25" spans="2:22">
      <c r="B25" s="9"/>
      <c r="C25" s="92"/>
      <c r="D25" s="156"/>
      <c r="E25" s="227" t="s">
        <v>42</v>
      </c>
      <c r="F25" s="169"/>
      <c r="G25" s="189" t="s">
        <v>63</v>
      </c>
      <c r="H25" s="169"/>
      <c r="I25" s="196" t="s">
        <v>64</v>
      </c>
      <c r="J25" s="87"/>
      <c r="K25" s="92"/>
      <c r="L25" s="156"/>
      <c r="M25" s="227" t="s">
        <v>42</v>
      </c>
      <c r="N25" s="169"/>
      <c r="O25" s="65" t="s">
        <v>63</v>
      </c>
      <c r="P25" s="65" t="s">
        <v>97</v>
      </c>
      <c r="Q25" s="65" t="s">
        <v>98</v>
      </c>
      <c r="R25" s="169"/>
      <c r="S25" s="196" t="s">
        <v>64</v>
      </c>
      <c r="T25" s="87"/>
      <c r="U25" s="9"/>
      <c r="V25" s="9"/>
    </row>
    <row r="26" spans="2:22">
      <c r="B26" s="9"/>
      <c r="C26" s="92"/>
      <c r="D26" s="156"/>
      <c r="E26" s="227" t="s">
        <v>0</v>
      </c>
      <c r="F26" s="169"/>
      <c r="G26" s="189" t="s">
        <v>45</v>
      </c>
      <c r="H26" s="169"/>
      <c r="I26" s="196" t="s">
        <v>0</v>
      </c>
      <c r="J26" s="87"/>
      <c r="K26" s="92"/>
      <c r="L26" s="156"/>
      <c r="M26" s="227" t="s">
        <v>0</v>
      </c>
      <c r="N26" s="169"/>
      <c r="O26" s="72" t="s">
        <v>100</v>
      </c>
      <c r="P26" s="66" t="s">
        <v>101</v>
      </c>
      <c r="Q26" s="66" t="s">
        <v>102</v>
      </c>
      <c r="R26" s="169"/>
      <c r="S26" s="196" t="s">
        <v>0</v>
      </c>
      <c r="T26" s="87"/>
      <c r="U26" s="9"/>
      <c r="V26" s="9"/>
    </row>
    <row r="27" spans="2:22">
      <c r="B27" s="9"/>
      <c r="C27" s="173" t="s">
        <v>149</v>
      </c>
      <c r="D27" s="174" t="str">
        <f>D14</f>
        <v>srim40Ar_Si</v>
      </c>
      <c r="E27" s="246">
        <f>[1]!srEold(D27,I27,G27)</f>
        <v>11.092657342657343</v>
      </c>
      <c r="F27" s="176" t="s">
        <v>154</v>
      </c>
      <c r="G27" s="191">
        <v>20</v>
      </c>
      <c r="H27" s="176" t="s">
        <v>154</v>
      </c>
      <c r="I27" s="226">
        <v>10</v>
      </c>
      <c r="J27" s="228">
        <f>I27</f>
        <v>10</v>
      </c>
      <c r="K27" s="173" t="s">
        <v>149</v>
      </c>
      <c r="L27" s="174" t="s">
        <v>172</v>
      </c>
      <c r="M27" s="246">
        <f>[1]!srEoldGas(L27,S27,O27,P27,Q27)</f>
        <v>10</v>
      </c>
      <c r="N27" s="176" t="s">
        <v>154</v>
      </c>
      <c r="O27" s="67">
        <v>100</v>
      </c>
      <c r="P27" s="73">
        <v>101000</v>
      </c>
      <c r="Q27" s="67">
        <v>25</v>
      </c>
      <c r="R27" s="176" t="s">
        <v>154</v>
      </c>
      <c r="S27" s="226">
        <f>S14</f>
        <v>6.3127245855933296</v>
      </c>
      <c r="T27" s="228">
        <f>S27</f>
        <v>6.3127245855933296</v>
      </c>
      <c r="U27" s="9"/>
      <c r="V27" s="9"/>
    </row>
    <row r="28" spans="2:22" s="70" customFormat="1">
      <c r="B28" s="217"/>
      <c r="C28" s="433"/>
      <c r="D28" s="434"/>
      <c r="E28" s="452" t="s">
        <v>158</v>
      </c>
      <c r="F28" s="436"/>
      <c r="G28" s="437" t="s">
        <v>170</v>
      </c>
      <c r="H28" s="436"/>
      <c r="I28" s="453"/>
      <c r="J28" s="207"/>
      <c r="K28" s="433"/>
      <c r="L28" s="434"/>
      <c r="M28" s="435"/>
      <c r="N28" s="436"/>
      <c r="O28" s="437" t="s">
        <v>170</v>
      </c>
      <c r="P28" s="457"/>
      <c r="Q28" s="457"/>
      <c r="R28" s="436"/>
      <c r="S28" s="439"/>
      <c r="T28" s="231"/>
      <c r="U28" s="217"/>
      <c r="V28" s="217"/>
    </row>
    <row r="29" spans="2:22" s="70" customFormat="1">
      <c r="B29" s="217"/>
      <c r="C29" s="440"/>
      <c r="D29" s="229"/>
      <c r="E29" s="454"/>
      <c r="F29" s="441" t="s">
        <v>171</v>
      </c>
      <c r="G29" s="206">
        <f>[1]!srum2mg(D27,G27)</f>
        <v>4.6424000000000003</v>
      </c>
      <c r="H29" s="203"/>
      <c r="I29" s="455"/>
      <c r="J29" s="207"/>
      <c r="K29" s="440"/>
      <c r="L29" s="229"/>
      <c r="M29" s="230"/>
      <c r="N29" s="441" t="s">
        <v>174</v>
      </c>
      <c r="O29" s="206">
        <f>[1]!srum2mg(L27,O27*1000)</f>
        <v>12.048</v>
      </c>
      <c r="P29" s="204"/>
      <c r="Q29" s="204"/>
      <c r="R29" s="203"/>
      <c r="S29" s="442"/>
      <c r="T29" s="231"/>
      <c r="U29" s="217"/>
      <c r="V29" s="217"/>
    </row>
    <row r="30" spans="2:22">
      <c r="B30" s="9"/>
      <c r="C30" s="92"/>
      <c r="D30" s="88"/>
      <c r="E30" s="87" t="s">
        <v>92</v>
      </c>
      <c r="F30" s="88"/>
      <c r="G30" s="189" t="s">
        <v>63</v>
      </c>
      <c r="H30" s="88"/>
      <c r="I30" s="190" t="s">
        <v>93</v>
      </c>
      <c r="J30" s="88"/>
      <c r="K30" s="92"/>
      <c r="L30" s="88"/>
      <c r="M30" s="87" t="s">
        <v>92</v>
      </c>
      <c r="N30" s="88"/>
      <c r="O30" s="189" t="s">
        <v>63</v>
      </c>
      <c r="P30" s="10"/>
      <c r="Q30" s="88"/>
      <c r="R30" s="88"/>
      <c r="S30" s="190" t="s">
        <v>93</v>
      </c>
      <c r="T30" s="88"/>
      <c r="U30" s="9"/>
      <c r="V30" s="9"/>
    </row>
    <row r="31" spans="2:22">
      <c r="B31" s="35"/>
      <c r="C31" s="440"/>
      <c r="D31" s="208"/>
      <c r="E31" s="189" t="s">
        <v>45</v>
      </c>
      <c r="F31" s="203"/>
      <c r="G31" s="189" t="s">
        <v>45</v>
      </c>
      <c r="H31" s="203"/>
      <c r="I31" s="443" t="s">
        <v>45</v>
      </c>
      <c r="J31" s="207"/>
      <c r="K31" s="440"/>
      <c r="L31" s="208"/>
      <c r="M31" s="189" t="s">
        <v>45</v>
      </c>
      <c r="N31" s="203"/>
      <c r="O31" s="189" t="s">
        <v>45</v>
      </c>
      <c r="P31" s="234">
        <f>[1]!srThkStd(L27,P27,Q27)</f>
        <v>0.98007620725868572</v>
      </c>
      <c r="Q31" s="458" t="s">
        <v>163</v>
      </c>
      <c r="R31" s="203"/>
      <c r="S31" s="443" t="s">
        <v>45</v>
      </c>
      <c r="T31" s="207"/>
      <c r="U31" s="9"/>
      <c r="V31" s="9"/>
    </row>
    <row r="32" spans="2:22">
      <c r="B32" s="35"/>
      <c r="C32" s="444"/>
      <c r="D32" s="441" t="s">
        <v>152</v>
      </c>
      <c r="E32" s="245">
        <f>[1]!srE2Rng(D27,E27)</f>
        <v>150.47</v>
      </c>
      <c r="F32" s="41"/>
      <c r="G32" s="88"/>
      <c r="H32" s="88"/>
      <c r="I32" s="445">
        <f>[1]!srE2Rng(D27,I27)</f>
        <v>130.47</v>
      </c>
      <c r="J32" s="228">
        <f>I32</f>
        <v>130.47</v>
      </c>
      <c r="K32" s="444"/>
      <c r="L32" s="441" t="s">
        <v>152</v>
      </c>
      <c r="M32" s="245">
        <f>[1]!srE2Rng(L27,M27)</f>
        <v>217440</v>
      </c>
      <c r="N32" s="41"/>
      <c r="O32" s="236" t="s">
        <v>164</v>
      </c>
      <c r="P32" s="88"/>
      <c r="Q32" s="88"/>
      <c r="R32" s="88"/>
      <c r="S32" s="445">
        <f>IF(S27=0,0,[1]!srE2Rng(L27,S27))</f>
        <v>119432.37927413142</v>
      </c>
      <c r="T32" s="228">
        <f>S32</f>
        <v>119432.37927413142</v>
      </c>
      <c r="U32" s="9"/>
      <c r="V32" s="9"/>
    </row>
    <row r="33" spans="2:22">
      <c r="B33" s="35"/>
      <c r="C33" s="446"/>
      <c r="D33" s="347"/>
      <c r="E33" s="456">
        <f>G33+I32</f>
        <v>150.47</v>
      </c>
      <c r="F33" s="448" t="s">
        <v>484</v>
      </c>
      <c r="G33" s="449">
        <f>G27</f>
        <v>20</v>
      </c>
      <c r="H33" s="450" t="s">
        <v>151</v>
      </c>
      <c r="I33" s="451">
        <f>I32</f>
        <v>130.47</v>
      </c>
      <c r="J33" s="35"/>
      <c r="K33" s="446"/>
      <c r="L33" s="347"/>
      <c r="M33" s="456">
        <f>O33+S32</f>
        <v>217440</v>
      </c>
      <c r="N33" s="448" t="s">
        <v>484</v>
      </c>
      <c r="O33" s="449">
        <f>O27*1000*P31</f>
        <v>98007.620725868575</v>
      </c>
      <c r="P33" s="449"/>
      <c r="Q33" s="449"/>
      <c r="R33" s="450" t="s">
        <v>151</v>
      </c>
      <c r="S33" s="451">
        <f>S32</f>
        <v>119432.37927413142</v>
      </c>
      <c r="T33" s="35"/>
      <c r="U33" s="9"/>
      <c r="V33" s="9"/>
    </row>
    <row r="34" spans="2:22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2:22">
      <c r="C35" s="9"/>
      <c r="D35" s="9" t="s">
        <v>177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2:22">
      <c r="C36" s="9"/>
      <c r="D36" s="9" t="s">
        <v>178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2:22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2:22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2:22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2:22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2:22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2:22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2:22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2:22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2:22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2:22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2:22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2:22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3:21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3:21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3:21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3:21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3:21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3:21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3:21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3:21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3:21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 spans="3:21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</row>
    <row r="59" spans="3:21"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</row>
    <row r="60" spans="3:21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</row>
    <row r="61" spans="3:21"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</row>
    <row r="62" spans="3:21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</row>
    <row r="63" spans="3:21"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</row>
    <row r="64" spans="3:21"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</row>
    <row r="65" spans="3:21"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</row>
    <row r="66" spans="3:21"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</row>
    <row r="67" spans="3:21"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</row>
    <row r="68" spans="3:21"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</row>
    <row r="69" spans="3:21"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</row>
    <row r="70" spans="3:21"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</row>
    <row r="71" spans="3:21"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</row>
    <row r="72" spans="3:21"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</row>
    <row r="73" spans="3:21"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</row>
    <row r="74" spans="3:21"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</row>
    <row r="75" spans="3:21"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</row>
    <row r="76" spans="3:21"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</row>
    <row r="77" spans="3:21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3:21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</row>
    <row r="79" spans="3:21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</row>
    <row r="80" spans="3:21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</row>
    <row r="81" spans="3:21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</row>
    <row r="82" spans="3:21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</row>
    <row r="83" spans="3:21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</row>
    <row r="84" spans="3:21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</row>
    <row r="85" spans="3:21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</row>
  </sheetData>
  <phoneticPr fontId="24"/>
  <conditionalFormatting sqref="Q11">
    <cfRule type="cellIs" dxfId="38" priority="2" operator="equal">
      <formula>FALSE</formula>
    </cfRule>
  </conditionalFormatting>
  <conditionalFormatting sqref="Q24">
    <cfRule type="cellIs" dxfId="37" priority="1" operator="equal">
      <formula>FALSE</formula>
    </cfRule>
  </conditionalFormatting>
  <pageMargins left="0.23622047244094491" right="0.23622047244094491" top="0.74803149606299213" bottom="0.74803149606299213" header="0.31496062992125984" footer="0.31496062992125984"/>
  <pageSetup paperSize="9" scale="88" fitToHeight="0" pageOrder="overThenDown" orientation="landscape" r:id="rId1"/>
  <headerFooter>
    <oddHeader>&amp;L&amp;F&amp;A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1:AA131"/>
  <sheetViews>
    <sheetView zoomScale="80" zoomScaleNormal="80" workbookViewId="0">
      <selection activeCell="H37" sqref="H37"/>
    </sheetView>
  </sheetViews>
  <sheetFormatPr defaultRowHeight="13.5"/>
  <cols>
    <col min="1" max="1" width="2.375" style="11" customWidth="1"/>
    <col min="2" max="2" width="4.375" style="11" customWidth="1"/>
    <col min="3" max="3" width="5.75" style="11" customWidth="1"/>
    <col min="4" max="4" width="15.125" style="11" customWidth="1"/>
    <col min="5" max="5" width="9.625" style="11" customWidth="1"/>
    <col min="6" max="6" width="3.625" style="11" customWidth="1"/>
    <col min="7" max="7" width="9.625" style="11" customWidth="1"/>
    <col min="8" max="8" width="3.625" style="11" customWidth="1"/>
    <col min="9" max="12" width="9.625" style="11" customWidth="1"/>
    <col min="13" max="13" width="2" style="11" customWidth="1"/>
    <col min="14" max="15" width="10.625" style="9" customWidth="1"/>
    <col min="16" max="17" width="8.625" style="9" customWidth="1"/>
    <col min="18" max="18" width="13.125" style="9" customWidth="1"/>
    <col min="19" max="22" width="3.875" style="9" customWidth="1"/>
    <col min="23" max="27" width="9" style="9"/>
    <col min="28" max="16384" width="9" style="11"/>
  </cols>
  <sheetData>
    <row r="1" spans="2:27" ht="9" customHeight="1"/>
    <row r="2" spans="2:27" s="32" customFormat="1" ht="18.75">
      <c r="B2" s="33" t="str">
        <f>BkTitle1</f>
        <v>SRIMfit_dbg</v>
      </c>
      <c r="F2" s="61" t="str">
        <f>BkTitle2</f>
        <v>AddInマクロ版 : セル内の式 = srFuncName()</v>
      </c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</row>
    <row r="3" spans="2:27" ht="9.75" customHeight="1"/>
    <row r="4" spans="2:27" ht="14.25">
      <c r="B4" s="210" t="s">
        <v>481</v>
      </c>
      <c r="G4" s="62" t="s">
        <v>37</v>
      </c>
      <c r="H4" s="9" t="s">
        <v>279</v>
      </c>
      <c r="L4" s="87" t="s">
        <v>44</v>
      </c>
    </row>
    <row r="5" spans="2:27">
      <c r="B5" s="9"/>
      <c r="C5" s="9" t="s">
        <v>281</v>
      </c>
      <c r="D5" s="9"/>
      <c r="E5" s="9"/>
      <c r="F5" s="9"/>
      <c r="G5" s="364" t="s">
        <v>284</v>
      </c>
      <c r="H5" s="9" t="s">
        <v>280</v>
      </c>
      <c r="I5" s="9"/>
      <c r="J5" s="9"/>
      <c r="K5" s="9"/>
      <c r="L5" s="62" t="s">
        <v>46</v>
      </c>
      <c r="M5" s="9"/>
      <c r="P5" s="819" t="s">
        <v>519</v>
      </c>
      <c r="W5" s="9" t="s">
        <v>288</v>
      </c>
      <c r="X5" s="88"/>
    </row>
    <row r="6" spans="2:27">
      <c r="B6" s="9"/>
      <c r="C6" s="9" t="s">
        <v>282</v>
      </c>
      <c r="D6" s="9"/>
      <c r="E6" s="9"/>
      <c r="F6" s="9"/>
      <c r="G6" s="363" t="s">
        <v>283</v>
      </c>
      <c r="H6" s="9" t="s">
        <v>285</v>
      </c>
      <c r="I6" s="9"/>
      <c r="J6" s="9"/>
      <c r="K6" s="9"/>
      <c r="L6" s="178" t="s">
        <v>50</v>
      </c>
      <c r="M6" s="9"/>
      <c r="P6" s="819" t="s">
        <v>520</v>
      </c>
      <c r="W6" s="88" t="s">
        <v>507</v>
      </c>
      <c r="X6" s="460" t="s">
        <v>508</v>
      </c>
    </row>
    <row r="7" spans="2:27">
      <c r="B7" s="9" t="s">
        <v>40</v>
      </c>
      <c r="C7" s="9"/>
      <c r="D7" s="9"/>
      <c r="E7" s="9"/>
      <c r="F7" s="9"/>
      <c r="G7" s="9"/>
      <c r="H7" s="9"/>
      <c r="I7" s="9"/>
      <c r="J7" s="9"/>
      <c r="K7" s="9"/>
      <c r="L7" s="181" t="s">
        <v>51</v>
      </c>
      <c r="M7" s="9"/>
      <c r="W7" s="88" t="s">
        <v>536</v>
      </c>
      <c r="X7" s="460" t="s">
        <v>537</v>
      </c>
    </row>
    <row r="8" spans="2:27">
      <c r="B8" s="9"/>
      <c r="C8" s="9"/>
      <c r="D8" s="9"/>
      <c r="E8" s="9"/>
      <c r="F8" s="9"/>
      <c r="G8" s="9"/>
      <c r="H8" s="9"/>
      <c r="I8" s="9"/>
      <c r="J8" s="9"/>
      <c r="K8" s="9"/>
      <c r="L8" s="183" t="s">
        <v>54</v>
      </c>
      <c r="M8" s="9"/>
      <c r="P8" s="819"/>
    </row>
    <row r="9" spans="2:27" ht="14.25">
      <c r="B9" s="9"/>
      <c r="C9" s="335"/>
      <c r="D9" s="334" t="s">
        <v>41</v>
      </c>
      <c r="E9" s="88"/>
      <c r="F9" s="169"/>
      <c r="G9" s="169"/>
      <c r="H9" s="169"/>
      <c r="I9" s="169"/>
      <c r="J9" s="169"/>
      <c r="K9" s="9"/>
      <c r="L9" s="214" t="s">
        <v>57</v>
      </c>
      <c r="M9" s="9"/>
      <c r="P9" s="819"/>
    </row>
    <row r="10" spans="2:27" ht="14.25" thickBot="1">
      <c r="B10" s="9"/>
      <c r="C10" s="9"/>
      <c r="D10" s="170"/>
      <c r="E10" s="169"/>
      <c r="F10" s="9"/>
      <c r="G10" s="169"/>
      <c r="H10" s="169"/>
      <c r="I10" s="169"/>
      <c r="J10" s="169"/>
      <c r="K10" s="9"/>
      <c r="L10" s="9"/>
      <c r="M10" s="9"/>
    </row>
    <row r="11" spans="2:27">
      <c r="B11" s="9"/>
      <c r="C11" s="399"/>
      <c r="D11" s="424"/>
      <c r="E11" s="425" t="str">
        <f>[1]!srElmNm([1]!srInfoIonZ(D14))&amp;"-"</f>
        <v>Ar-</v>
      </c>
      <c r="F11" s="426">
        <f>[1]!srInfoIonA(D14)</f>
        <v>40</v>
      </c>
      <c r="G11" s="427" t="str">
        <f>[1]!srInfoTrgName(D14)</f>
        <v>Si</v>
      </c>
      <c r="H11" s="169"/>
      <c r="I11" s="169"/>
      <c r="J11" s="169"/>
      <c r="K11" s="9"/>
      <c r="M11" s="9"/>
      <c r="N11" s="840" t="s">
        <v>581</v>
      </c>
      <c r="O11" s="841"/>
      <c r="P11" s="842" t="s">
        <v>573</v>
      </c>
      <c r="Q11" s="842" t="s">
        <v>574</v>
      </c>
      <c r="R11" s="112"/>
      <c r="Y11" s="819"/>
    </row>
    <row r="12" spans="2:27">
      <c r="B12" s="9"/>
      <c r="C12" s="388"/>
      <c r="D12" s="360" t="s">
        <v>277</v>
      </c>
      <c r="E12" s="87" t="s">
        <v>42</v>
      </c>
      <c r="F12" s="169"/>
      <c r="G12" s="428" t="s">
        <v>43</v>
      </c>
      <c r="H12" s="169"/>
      <c r="I12" s="9"/>
      <c r="K12" s="9"/>
      <c r="M12" s="9"/>
      <c r="N12" s="843" t="s">
        <v>42</v>
      </c>
      <c r="O12" s="844" t="s">
        <v>96</v>
      </c>
      <c r="P12" s="844" t="s">
        <v>497</v>
      </c>
      <c r="Q12" s="844" t="s">
        <v>572</v>
      </c>
      <c r="R12" s="295" t="s">
        <v>579</v>
      </c>
      <c r="Y12" s="819"/>
    </row>
    <row r="13" spans="2:27">
      <c r="B13" s="9"/>
      <c r="C13" s="388"/>
      <c r="D13" s="356">
        <f>E14*F11</f>
        <v>40</v>
      </c>
      <c r="E13" s="87" t="s">
        <v>0</v>
      </c>
      <c r="F13" s="169"/>
      <c r="G13" s="428" t="s">
        <v>45</v>
      </c>
      <c r="H13" s="169"/>
      <c r="I13" s="9"/>
      <c r="K13" s="9"/>
      <c r="M13" s="9"/>
      <c r="N13" s="823" t="s">
        <v>569</v>
      </c>
      <c r="O13" s="823" t="s">
        <v>527</v>
      </c>
      <c r="P13" s="821" t="s">
        <v>530</v>
      </c>
      <c r="Q13" s="837" t="s">
        <v>571</v>
      </c>
      <c r="R13" s="365"/>
      <c r="W13" s="848"/>
      <c r="X13" s="599"/>
    </row>
    <row r="14" spans="2:27">
      <c r="B14" s="9"/>
      <c r="C14" s="411" t="s">
        <v>47</v>
      </c>
      <c r="D14" s="174" t="s">
        <v>430</v>
      </c>
      <c r="E14" s="175">
        <v>1</v>
      </c>
      <c r="F14" s="176" t="s">
        <v>49</v>
      </c>
      <c r="G14" s="429">
        <f>[1]!srE2Rng(D14,E14)</f>
        <v>12.54</v>
      </c>
      <c r="H14" s="177"/>
      <c r="I14" s="9"/>
      <c r="K14" s="9"/>
      <c r="M14" s="9"/>
      <c r="N14" s="837" t="s">
        <v>567</v>
      </c>
      <c r="O14" s="823" t="s">
        <v>527</v>
      </c>
      <c r="P14" s="821" t="s">
        <v>535</v>
      </c>
      <c r="Q14" s="821" t="s">
        <v>575</v>
      </c>
      <c r="W14" s="849"/>
    </row>
    <row r="15" spans="2:27">
      <c r="B15" s="9"/>
      <c r="C15" s="388"/>
      <c r="D15" s="361" t="s">
        <v>278</v>
      </c>
      <c r="E15" s="179" t="str">
        <f>[1]!srElmNm([1]!srInfoIonZ(D17))&amp;"-"</f>
        <v>Au-</v>
      </c>
      <c r="F15" s="180">
        <f>[1]!srInfoIonA(D17)</f>
        <v>197</v>
      </c>
      <c r="G15" s="430" t="str">
        <f>[1]!srInfoTrgName(D17)</f>
        <v>Al</v>
      </c>
      <c r="H15" s="169"/>
      <c r="I15" s="9"/>
      <c r="K15" s="9"/>
      <c r="M15" s="9"/>
      <c r="N15" s="837" t="s">
        <v>571</v>
      </c>
      <c r="O15" s="837" t="s">
        <v>571</v>
      </c>
      <c r="P15" s="821" t="s">
        <v>535</v>
      </c>
      <c r="Q15" s="821" t="s">
        <v>578</v>
      </c>
      <c r="R15" s="9" t="s">
        <v>577</v>
      </c>
      <c r="W15" s="138"/>
      <c r="X15" s="138"/>
      <c r="Y15" s="138"/>
    </row>
    <row r="16" spans="2:27">
      <c r="B16" s="9"/>
      <c r="C16" s="388"/>
      <c r="D16" s="356">
        <f>E17*F15</f>
        <v>82.650602409638537</v>
      </c>
      <c r="E16" s="182" t="s">
        <v>52</v>
      </c>
      <c r="F16" s="169"/>
      <c r="G16" s="431" t="s">
        <v>53</v>
      </c>
      <c r="H16" s="169"/>
      <c r="I16" s="9"/>
      <c r="J16" s="818"/>
      <c r="K16" s="9"/>
      <c r="M16" s="9"/>
      <c r="Q16" s="221"/>
      <c r="W16" s="88"/>
      <c r="X16" s="138"/>
      <c r="Y16" s="850"/>
      <c r="Z16" s="88"/>
    </row>
    <row r="17" spans="2:27" ht="14.25" thickBot="1">
      <c r="B17" s="9"/>
      <c r="C17" s="390" t="s">
        <v>55</v>
      </c>
      <c r="D17" s="391" t="s">
        <v>485</v>
      </c>
      <c r="E17" s="394">
        <f>[1]!srRng_eq_Eold(D14,D17,E14)</f>
        <v>0.41954620512506874</v>
      </c>
      <c r="F17" s="393" t="s">
        <v>56</v>
      </c>
      <c r="G17" s="432">
        <f>G14</f>
        <v>12.54</v>
      </c>
      <c r="H17" s="177"/>
      <c r="I17" s="9"/>
      <c r="K17" s="9"/>
      <c r="L17" s="9"/>
      <c r="M17" s="9"/>
      <c r="N17" s="845" t="s">
        <v>582</v>
      </c>
      <c r="O17" s="539"/>
      <c r="P17" s="194"/>
      <c r="Q17" s="705"/>
      <c r="W17" s="88"/>
      <c r="X17" s="138"/>
      <c r="Y17" s="850"/>
      <c r="Z17" s="88"/>
    </row>
    <row r="18" spans="2:27">
      <c r="B18" s="9"/>
      <c r="C18" s="9"/>
      <c r="D18" s="9"/>
      <c r="E18" s="211" t="s">
        <v>58</v>
      </c>
      <c r="F18" s="9"/>
      <c r="G18" s="9"/>
      <c r="H18" s="9"/>
      <c r="I18" s="184"/>
      <c r="J18" s="184"/>
      <c r="K18" s="9"/>
      <c r="L18" s="9"/>
      <c r="M18" s="9"/>
      <c r="N18" s="542" t="s">
        <v>320</v>
      </c>
      <c r="O18" s="847"/>
      <c r="P18" s="557" t="s">
        <v>42</v>
      </c>
      <c r="Q18" s="819"/>
      <c r="W18" s="88"/>
      <c r="X18" s="138"/>
      <c r="Y18" s="851"/>
      <c r="Z18" s="88"/>
    </row>
    <row r="19" spans="2:27">
      <c r="B19" s="9"/>
      <c r="C19" s="9"/>
      <c r="D19" s="212" t="s">
        <v>59</v>
      </c>
      <c r="E19" s="215">
        <f>E17</f>
        <v>0.41954620512506874</v>
      </c>
      <c r="F19" s="177" t="s">
        <v>49</v>
      </c>
      <c r="G19" s="213">
        <f>[1]!srE2Rng(D17,E19)</f>
        <v>12.54</v>
      </c>
      <c r="H19" s="9"/>
      <c r="I19" s="9"/>
      <c r="J19" s="9"/>
      <c r="K19" s="9"/>
      <c r="L19" s="9"/>
      <c r="M19" s="9"/>
      <c r="N19" s="550" t="s">
        <v>600</v>
      </c>
      <c r="W19" s="88"/>
      <c r="X19" s="138"/>
      <c r="Y19" s="851"/>
      <c r="Z19" s="88"/>
    </row>
    <row r="20" spans="2:27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673" t="s">
        <v>601</v>
      </c>
      <c r="P20" s="9">
        <v>400</v>
      </c>
      <c r="W20" s="488"/>
      <c r="X20" s="88"/>
      <c r="Y20" s="850"/>
      <c r="Z20" s="88"/>
    </row>
    <row r="21" spans="2:27" ht="14.25">
      <c r="B21" s="9"/>
      <c r="C21" s="336"/>
      <c r="D21" s="334" t="s">
        <v>60</v>
      </c>
      <c r="E21" s="88"/>
      <c r="F21" s="169"/>
      <c r="G21" s="169"/>
      <c r="H21" s="169"/>
      <c r="I21" s="819"/>
      <c r="J21" s="169"/>
      <c r="K21" s="9"/>
      <c r="L21" s="9"/>
      <c r="M21" s="9"/>
      <c r="X21" s="88"/>
      <c r="Y21" s="850"/>
      <c r="Z21" s="88"/>
    </row>
    <row r="22" spans="2:27" s="9" customFormat="1" ht="12.75" thickBot="1">
      <c r="D22" s="170"/>
      <c r="F22" s="90"/>
      <c r="I22" s="819" t="s">
        <v>602</v>
      </c>
      <c r="J22" s="169"/>
      <c r="L22" s="151" t="s">
        <v>299</v>
      </c>
      <c r="X22" s="88"/>
      <c r="Y22" s="846"/>
      <c r="Z22" s="88"/>
    </row>
    <row r="23" spans="2:27" s="9" customFormat="1">
      <c r="C23" s="399"/>
      <c r="D23" s="400" t="s">
        <v>290</v>
      </c>
      <c r="E23" s="379" t="s">
        <v>292</v>
      </c>
      <c r="F23" s="378"/>
      <c r="G23" s="380" t="s">
        <v>293</v>
      </c>
      <c r="H23" s="401"/>
      <c r="I23" s="402"/>
      <c r="J23" s="402"/>
      <c r="K23" s="410" t="s">
        <v>295</v>
      </c>
      <c r="L23" s="479" t="s">
        <v>300</v>
      </c>
      <c r="N23" s="840" t="s">
        <v>581</v>
      </c>
      <c r="O23" s="841"/>
      <c r="P23" s="842" t="s">
        <v>573</v>
      </c>
      <c r="Q23" s="842" t="s">
        <v>574</v>
      </c>
      <c r="R23" s="112"/>
      <c r="W23" s="488"/>
      <c r="X23" s="88"/>
      <c r="Y23" s="850"/>
    </row>
    <row r="24" spans="2:27" s="9" customFormat="1">
      <c r="C24" s="403"/>
      <c r="D24" s="370">
        <f>[1]!srMaxLETt(D28,2)/1000</f>
        <v>21.903338682000001</v>
      </c>
      <c r="E24" s="415">
        <f>[1]!srMaxLETt2E(D28)</f>
        <v>4.0609137055837561</v>
      </c>
      <c r="F24" s="371"/>
      <c r="G24" s="376">
        <f>[1]!srE2Rng(D28,E28)</f>
        <v>22.193999999999999</v>
      </c>
      <c r="H24" s="372"/>
      <c r="I24" s="202"/>
      <c r="J24" s="202"/>
      <c r="K24" s="373">
        <f>L24/F25</f>
        <v>2.4676279122249136</v>
      </c>
      <c r="L24" s="385">
        <f>D24*G28</f>
        <v>486.12269870830801</v>
      </c>
      <c r="N24" s="843" t="s">
        <v>566</v>
      </c>
      <c r="O24" s="844" t="s">
        <v>564</v>
      </c>
      <c r="P24" s="844" t="s">
        <v>565</v>
      </c>
      <c r="Q24" s="844" t="s">
        <v>572</v>
      </c>
      <c r="R24" s="295" t="s">
        <v>579</v>
      </c>
      <c r="W24" s="488"/>
    </row>
    <row r="25" spans="2:27">
      <c r="B25" s="9"/>
      <c r="C25" s="386"/>
      <c r="D25" s="112"/>
      <c r="E25" s="367" t="str">
        <f>[1]!srElmNm([1]!srInfoIonZ(D28))&amp;"-"</f>
        <v>Au-</v>
      </c>
      <c r="F25" s="172">
        <f>[1]!srInfoIonA(D28)</f>
        <v>197</v>
      </c>
      <c r="G25" s="186" t="str">
        <f>[1]!srInfoTrgName(D28)</f>
        <v>Si</v>
      </c>
      <c r="H25" s="187"/>
      <c r="I25" s="362" t="str">
        <f>IF((I28&lt;=0),"Eu11&lt;=0","")</f>
        <v>Eu11&lt;=0</v>
      </c>
      <c r="J25" s="188"/>
      <c r="K25" s="128"/>
      <c r="L25" s="387"/>
      <c r="M25" s="9"/>
      <c r="N25" s="823" t="s">
        <v>569</v>
      </c>
      <c r="O25" s="823" t="s">
        <v>568</v>
      </c>
      <c r="P25" s="821" t="s">
        <v>530</v>
      </c>
      <c r="Q25" s="837" t="s">
        <v>571</v>
      </c>
      <c r="W25" s="151"/>
    </row>
    <row r="26" spans="2:27">
      <c r="B26" s="9"/>
      <c r="C26" s="388"/>
      <c r="D26" s="360" t="s">
        <v>291</v>
      </c>
      <c r="E26" s="368" t="s">
        <v>42</v>
      </c>
      <c r="F26" s="169"/>
      <c r="G26" s="189" t="s">
        <v>63</v>
      </c>
      <c r="H26" s="169"/>
      <c r="I26" s="190" t="s">
        <v>64</v>
      </c>
      <c r="J26" s="190" t="s">
        <v>65</v>
      </c>
      <c r="K26" s="91" t="s">
        <v>66</v>
      </c>
      <c r="L26" s="404" t="s">
        <v>67</v>
      </c>
      <c r="M26" s="9"/>
      <c r="N26" s="823" t="s">
        <v>568</v>
      </c>
      <c r="O26" s="837" t="s">
        <v>570</v>
      </c>
      <c r="P26" s="821" t="s">
        <v>530</v>
      </c>
      <c r="Q26" s="837" t="s">
        <v>571</v>
      </c>
    </row>
    <row r="27" spans="2:27">
      <c r="B27" s="9"/>
      <c r="C27" s="388"/>
      <c r="D27" s="356">
        <f>E28*F25</f>
        <v>197</v>
      </c>
      <c r="E27" s="368" t="s">
        <v>0</v>
      </c>
      <c r="F27" s="169"/>
      <c r="G27" s="189" t="s">
        <v>45</v>
      </c>
      <c r="H27" s="169"/>
      <c r="I27" s="190" t="s">
        <v>0</v>
      </c>
      <c r="J27" s="190" t="s">
        <v>68</v>
      </c>
      <c r="K27" s="91" t="s">
        <v>0</v>
      </c>
      <c r="L27" s="404" t="s">
        <v>68</v>
      </c>
      <c r="M27" s="9"/>
      <c r="N27" s="837" t="s">
        <v>567</v>
      </c>
      <c r="O27" s="823" t="s">
        <v>568</v>
      </c>
      <c r="P27" s="821" t="s">
        <v>535</v>
      </c>
      <c r="Q27" s="821" t="s">
        <v>575</v>
      </c>
    </row>
    <row r="28" spans="2:27" ht="14.25" thickBot="1">
      <c r="B28" s="9"/>
      <c r="C28" s="390" t="s">
        <v>47</v>
      </c>
      <c r="D28" s="391" t="s">
        <v>258</v>
      </c>
      <c r="E28" s="405">
        <v>1</v>
      </c>
      <c r="F28" s="393" t="s">
        <v>49</v>
      </c>
      <c r="G28" s="406">
        <v>22.193999999999999</v>
      </c>
      <c r="H28" s="393" t="s">
        <v>49</v>
      </c>
      <c r="I28" s="407">
        <f>[1]!srEnew(D28,E28,G28)</f>
        <v>0</v>
      </c>
      <c r="J28" s="408">
        <f>I28*F25</f>
        <v>0</v>
      </c>
      <c r="K28" s="409">
        <f>E28-I28</f>
        <v>1</v>
      </c>
      <c r="L28" s="398">
        <f>K28*F25</f>
        <v>197</v>
      </c>
      <c r="M28" s="9"/>
      <c r="N28" s="837" t="s">
        <v>571</v>
      </c>
      <c r="O28" s="837" t="s">
        <v>571</v>
      </c>
      <c r="P28" s="821" t="s">
        <v>535</v>
      </c>
      <c r="Q28" s="821" t="s">
        <v>576</v>
      </c>
      <c r="R28" s="803" t="s">
        <v>589</v>
      </c>
      <c r="W28" s="365" t="s">
        <v>590</v>
      </c>
    </row>
    <row r="29" spans="2:27" s="70" customFormat="1">
      <c r="B29" s="217"/>
      <c r="C29" s="377"/>
      <c r="D29" s="378" t="s">
        <v>294</v>
      </c>
      <c r="E29" s="379" t="s">
        <v>305</v>
      </c>
      <c r="F29" s="378"/>
      <c r="G29" s="380" t="s">
        <v>304</v>
      </c>
      <c r="H29" s="381"/>
      <c r="I29" s="382"/>
      <c r="J29" s="383"/>
      <c r="K29" s="480" t="s">
        <v>301</v>
      </c>
      <c r="L29" s="481" t="s">
        <v>302</v>
      </c>
      <c r="M29" s="217"/>
      <c r="R29" s="852" t="s">
        <v>603</v>
      </c>
      <c r="X29" s="9"/>
      <c r="Y29" s="9"/>
      <c r="Z29" s="9"/>
      <c r="AA29" s="217"/>
    </row>
    <row r="30" spans="2:27" s="70" customFormat="1">
      <c r="B30" s="217"/>
      <c r="C30" s="384"/>
      <c r="D30" s="370">
        <f>[1]!srMaxLETt(D33,2)/1000</f>
        <v>4.9943486701999991</v>
      </c>
      <c r="E30" s="415">
        <f>[1]!srMaxLETt2E(D33)</f>
        <v>1.125</v>
      </c>
      <c r="F30" s="371"/>
      <c r="G30" s="376">
        <f>[1]!srE2Rng(D33,E33)</f>
        <v>11.16</v>
      </c>
      <c r="H30" s="374"/>
      <c r="I30" s="375"/>
      <c r="J30" s="205"/>
      <c r="K30" s="421" t="e">
        <f>L30/F31</f>
        <v>#N/A</v>
      </c>
      <c r="L30" s="422" t="e">
        <f>D30*G33</f>
        <v>#N/A</v>
      </c>
      <c r="M30" s="217"/>
      <c r="N30" s="837" t="s">
        <v>571</v>
      </c>
      <c r="O30" s="837" t="s">
        <v>571</v>
      </c>
      <c r="P30" s="821" t="s">
        <v>535</v>
      </c>
      <c r="Q30" s="821" t="s">
        <v>588</v>
      </c>
      <c r="R30" s="9" t="s">
        <v>604</v>
      </c>
      <c r="S30" s="9"/>
      <c r="T30" s="9"/>
      <c r="U30" s="9"/>
      <c r="V30" s="9"/>
      <c r="W30" s="365" t="s">
        <v>591</v>
      </c>
      <c r="X30" s="9"/>
      <c r="Y30" s="9"/>
      <c r="Z30" s="9"/>
      <c r="AA30" s="217"/>
    </row>
    <row r="31" spans="2:27">
      <c r="B31" s="9"/>
      <c r="C31" s="386"/>
      <c r="D31" s="361" t="s">
        <v>296</v>
      </c>
      <c r="E31" s="367" t="str">
        <f>[1]!srElmNm([1]!srInfoIonZ(D33))&amp;"-"</f>
        <v>Ar-</v>
      </c>
      <c r="F31" s="172">
        <f>[1]!srInfoIonA(D33)</f>
        <v>40</v>
      </c>
      <c r="G31" s="186" t="str">
        <f>[1]!srInfoTrgName(D33)</f>
        <v>Al</v>
      </c>
      <c r="H31" s="187"/>
      <c r="I31" s="188"/>
      <c r="J31" s="194"/>
      <c r="K31" s="128"/>
      <c r="L31" s="387"/>
      <c r="M31" s="9"/>
      <c r="N31" s="837" t="s">
        <v>571</v>
      </c>
      <c r="O31" s="837" t="s">
        <v>571</v>
      </c>
      <c r="P31" s="821" t="s">
        <v>535</v>
      </c>
      <c r="Q31" s="821" t="s">
        <v>596</v>
      </c>
      <c r="R31" s="9" t="s">
        <v>597</v>
      </c>
      <c r="S31" s="217"/>
      <c r="T31" s="217"/>
      <c r="U31" s="217"/>
      <c r="V31" s="217"/>
      <c r="Z31" s="365"/>
    </row>
    <row r="32" spans="2:27">
      <c r="B32" s="9"/>
      <c r="C32" s="388"/>
      <c r="D32" s="356">
        <f>E33*F31</f>
        <v>40</v>
      </c>
      <c r="E32" s="369" t="s">
        <v>69</v>
      </c>
      <c r="F32" s="169"/>
      <c r="G32" s="183" t="s">
        <v>70</v>
      </c>
      <c r="H32" s="169"/>
      <c r="I32" s="195" t="s">
        <v>71</v>
      </c>
      <c r="J32" s="196" t="s">
        <v>72</v>
      </c>
      <c r="K32" s="197" t="s">
        <v>73</v>
      </c>
      <c r="L32" s="389" t="s">
        <v>74</v>
      </c>
      <c r="M32" s="9"/>
      <c r="N32" s="837" t="s">
        <v>571</v>
      </c>
      <c r="O32" s="837" t="s">
        <v>571</v>
      </c>
      <c r="P32" s="821" t="s">
        <v>535</v>
      </c>
      <c r="Q32" s="821" t="s">
        <v>592</v>
      </c>
      <c r="R32" s="9" t="s">
        <v>593</v>
      </c>
      <c r="S32" s="217"/>
      <c r="T32" s="217"/>
      <c r="U32" s="217"/>
      <c r="V32" s="217"/>
      <c r="W32" s="365" t="s">
        <v>594</v>
      </c>
    </row>
    <row r="33" spans="2:27" ht="14.25" thickBot="1">
      <c r="B33" s="9"/>
      <c r="C33" s="390" t="s">
        <v>55</v>
      </c>
      <c r="D33" s="391" t="s">
        <v>580</v>
      </c>
      <c r="E33" s="392">
        <f>E28</f>
        <v>1</v>
      </c>
      <c r="F33" s="393" t="s">
        <v>49</v>
      </c>
      <c r="G33" s="394" t="e">
        <f>[1]!srEnew_eq_Th(D28,D33,E28,G28)</f>
        <v>#N/A</v>
      </c>
      <c r="H33" s="393" t="s">
        <v>49</v>
      </c>
      <c r="I33" s="395" t="e">
        <f>[1]!srEnew(D33,E33,G33)</f>
        <v>#VALUE!</v>
      </c>
      <c r="J33" s="396" t="e">
        <f>I33*F31</f>
        <v>#VALUE!</v>
      </c>
      <c r="K33" s="397" t="e">
        <f>E33-I33</f>
        <v>#VALUE!</v>
      </c>
      <c r="L33" s="398" t="e">
        <f>K33*F31</f>
        <v>#VALUE!</v>
      </c>
      <c r="M33" s="488"/>
      <c r="N33" s="837" t="s">
        <v>571</v>
      </c>
      <c r="O33" s="837" t="s">
        <v>571</v>
      </c>
      <c r="P33" s="821" t="s">
        <v>535</v>
      </c>
      <c r="Q33" s="821" t="s">
        <v>578</v>
      </c>
      <c r="R33" s="9" t="s">
        <v>577</v>
      </c>
      <c r="W33" s="365" t="s">
        <v>595</v>
      </c>
      <c r="Z33" s="365"/>
    </row>
    <row r="34" spans="2:27">
      <c r="B34" s="9"/>
      <c r="C34" s="9"/>
      <c r="D34" s="9"/>
      <c r="E34" s="9"/>
      <c r="F34" s="9"/>
      <c r="G34" s="211" t="s">
        <v>75</v>
      </c>
      <c r="H34" s="9"/>
      <c r="I34" s="839" t="e">
        <f>I33</f>
        <v>#VALUE!</v>
      </c>
      <c r="J34" s="184"/>
      <c r="K34" s="9"/>
      <c r="L34" s="9"/>
      <c r="M34" s="488"/>
      <c r="N34" s="838"/>
      <c r="O34" s="838"/>
      <c r="P34" s="786"/>
      <c r="Q34" s="786"/>
      <c r="Z34" s="365"/>
    </row>
    <row r="35" spans="2:27">
      <c r="B35" s="9"/>
      <c r="C35" s="9"/>
      <c r="D35" s="9"/>
      <c r="E35" s="9"/>
      <c r="F35" s="9"/>
      <c r="G35" s="9"/>
      <c r="H35" s="9"/>
      <c r="I35" s="216" t="s">
        <v>76</v>
      </c>
      <c r="J35" s="9"/>
      <c r="K35" s="9"/>
      <c r="L35" s="9"/>
      <c r="N35" s="823" t="s">
        <v>527</v>
      </c>
      <c r="O35" s="837" t="s">
        <v>531</v>
      </c>
      <c r="P35" s="821" t="s">
        <v>531</v>
      </c>
      <c r="Q35" s="28"/>
      <c r="R35" s="9" t="s">
        <v>598</v>
      </c>
      <c r="W35" s="217"/>
      <c r="X35" s="217"/>
      <c r="Y35" s="217"/>
      <c r="Z35" s="217"/>
    </row>
    <row r="36" spans="2:27" ht="14.25">
      <c r="B36" s="9"/>
      <c r="C36" s="336"/>
      <c r="D36" s="334" t="s">
        <v>254</v>
      </c>
      <c r="E36" s="88"/>
      <c r="F36" s="169"/>
      <c r="G36" s="169"/>
      <c r="H36" s="169"/>
      <c r="I36" s="169"/>
      <c r="J36" s="169"/>
      <c r="K36" s="9"/>
      <c r="L36" s="9"/>
      <c r="M36" s="534"/>
      <c r="W36" s="365"/>
      <c r="X36" s="365"/>
    </row>
    <row r="37" spans="2:27" ht="14.25" thickBot="1">
      <c r="B37" s="9"/>
      <c r="C37" s="9"/>
      <c r="D37" s="170"/>
      <c r="E37" s="169"/>
      <c r="F37" s="90"/>
      <c r="G37" s="366"/>
      <c r="H37" s="236"/>
      <c r="I37" s="819" t="s">
        <v>521</v>
      </c>
      <c r="J37" s="169"/>
      <c r="K37" s="9"/>
      <c r="L37" s="151"/>
      <c r="M37" s="534"/>
      <c r="X37" s="819"/>
    </row>
    <row r="38" spans="2:27" s="9" customFormat="1" ht="12">
      <c r="C38" s="399"/>
      <c r="D38" s="400" t="s">
        <v>290</v>
      </c>
      <c r="E38" s="379" t="s">
        <v>292</v>
      </c>
      <c r="F38" s="378"/>
      <c r="G38" s="380" t="s">
        <v>293</v>
      </c>
      <c r="H38" s="401"/>
      <c r="I38" s="402"/>
      <c r="J38" s="402"/>
      <c r="K38" s="410" t="s">
        <v>295</v>
      </c>
      <c r="L38" s="479" t="s">
        <v>300</v>
      </c>
      <c r="M38" s="534"/>
      <c r="N38" s="845" t="s">
        <v>582</v>
      </c>
      <c r="O38" s="539"/>
      <c r="P38" s="540"/>
      <c r="Q38" s="541"/>
      <c r="X38" s="819"/>
    </row>
    <row r="39" spans="2:27" s="9" customFormat="1" ht="12">
      <c r="C39" s="403"/>
      <c r="D39" s="370">
        <f>[1]!srMaxLETt(D43,2)/1000</f>
        <v>21.903338682000001</v>
      </c>
      <c r="E39" s="415">
        <f>[1]!srMaxLETt2E(D43)</f>
        <v>4.0609137055837561</v>
      </c>
      <c r="F39" s="371"/>
      <c r="G39" s="376">
        <f>[1]!srE2Rng(D43,E43)</f>
        <v>107.29300000000001</v>
      </c>
      <c r="H39" s="372"/>
      <c r="I39" s="202"/>
      <c r="J39" s="202"/>
      <c r="K39" s="373">
        <f>L39/F40</f>
        <v>0.55592230157360412</v>
      </c>
      <c r="L39" s="385">
        <f>D39*G43</f>
        <v>109.51669341</v>
      </c>
      <c r="N39" s="542" t="s">
        <v>320</v>
      </c>
      <c r="O39" s="847"/>
      <c r="P39" s="543" t="s">
        <v>42</v>
      </c>
      <c r="Q39" s="544" t="s">
        <v>319</v>
      </c>
    </row>
    <row r="40" spans="2:27">
      <c r="B40" s="9"/>
      <c r="C40" s="386"/>
      <c r="D40" s="112"/>
      <c r="E40" s="171" t="str">
        <f>[1]!srElmNm([1]!srInfoIonZ(D43))&amp;"-"</f>
        <v>Au-</v>
      </c>
      <c r="F40" s="172">
        <f>[1]!srInfoIonA(D43)</f>
        <v>197</v>
      </c>
      <c r="G40" s="186" t="str">
        <f>[1]!srInfoTrgName(D43)</f>
        <v>Si</v>
      </c>
      <c r="H40" s="187"/>
      <c r="I40" s="362" t="str">
        <f>IF((G43&gt;G39),"Eu11&lt;0","")</f>
        <v/>
      </c>
      <c r="J40" s="362" t="str">
        <f>IF((J43&gt;D47),"Et11&gt;Et20","")</f>
        <v>Et11&gt;Et20</v>
      </c>
      <c r="K40" s="128"/>
      <c r="L40" s="387"/>
      <c r="M40" s="9"/>
      <c r="N40" s="550" t="s">
        <v>583</v>
      </c>
      <c r="P40" s="535"/>
      <c r="Q40" s="535"/>
    </row>
    <row r="41" spans="2:27">
      <c r="B41" s="9"/>
      <c r="C41" s="388"/>
      <c r="D41" s="360" t="s">
        <v>277</v>
      </c>
      <c r="E41" s="87" t="s">
        <v>42</v>
      </c>
      <c r="F41" s="169"/>
      <c r="G41" s="189" t="s">
        <v>63</v>
      </c>
      <c r="H41" s="169"/>
      <c r="I41" s="190" t="s">
        <v>64</v>
      </c>
      <c r="J41" s="190" t="s">
        <v>65</v>
      </c>
      <c r="K41" s="91" t="s">
        <v>66</v>
      </c>
      <c r="L41" s="404" t="s">
        <v>67</v>
      </c>
      <c r="M41" s="9"/>
      <c r="N41" s="489" t="s">
        <v>527</v>
      </c>
      <c r="O41" s="846"/>
      <c r="P41" s="535" t="s">
        <v>584</v>
      </c>
      <c r="Q41" s="548" t="s">
        <v>585</v>
      </c>
      <c r="R41" s="365"/>
    </row>
    <row r="42" spans="2:27">
      <c r="B42" s="9"/>
      <c r="C42" s="388"/>
      <c r="D42" s="356">
        <f>E43*F40</f>
        <v>1970</v>
      </c>
      <c r="E42" s="87" t="s">
        <v>0</v>
      </c>
      <c r="F42" s="169"/>
      <c r="G42" s="189" t="s">
        <v>45</v>
      </c>
      <c r="H42" s="169"/>
      <c r="I42" s="190" t="s">
        <v>0</v>
      </c>
      <c r="J42" s="190" t="s">
        <v>68</v>
      </c>
      <c r="K42" s="91" t="s">
        <v>0</v>
      </c>
      <c r="L42" s="404" t="s">
        <v>68</v>
      </c>
      <c r="M42" s="9"/>
      <c r="N42" s="550" t="s">
        <v>586</v>
      </c>
      <c r="O42" s="846"/>
      <c r="P42" s="535"/>
      <c r="Q42" s="535"/>
    </row>
    <row r="43" spans="2:27" ht="14.25" thickBot="1">
      <c r="B43" s="9"/>
      <c r="C43" s="411" t="s">
        <v>47</v>
      </c>
      <c r="D43" s="391" t="s">
        <v>258</v>
      </c>
      <c r="E43" s="175">
        <v>10</v>
      </c>
      <c r="F43" s="176" t="s">
        <v>49</v>
      </c>
      <c r="G43" s="191">
        <v>5</v>
      </c>
      <c r="H43" s="176" t="s">
        <v>49</v>
      </c>
      <c r="I43" s="129">
        <f>[1]!srEnew(D43,E43,G43)</f>
        <v>9.4913685238497294</v>
      </c>
      <c r="J43" s="192">
        <f>I43*F40</f>
        <v>1869.7995991983967</v>
      </c>
      <c r="K43" s="193">
        <f>E43-I43</f>
        <v>0.5086314761502706</v>
      </c>
      <c r="L43" s="412">
        <f>K43*F40</f>
        <v>100.20040080160331</v>
      </c>
      <c r="M43" s="9"/>
      <c r="N43" s="673" t="s">
        <v>587</v>
      </c>
      <c r="O43" s="846"/>
      <c r="P43" s="535">
        <v>10</v>
      </c>
      <c r="Q43" s="535">
        <v>5</v>
      </c>
      <c r="R43" s="365"/>
    </row>
    <row r="44" spans="2:27" s="70" customFormat="1">
      <c r="B44" s="217"/>
      <c r="C44" s="377"/>
      <c r="D44" s="378" t="s">
        <v>294</v>
      </c>
      <c r="E44" s="379" t="s">
        <v>305</v>
      </c>
      <c r="F44" s="378"/>
      <c r="G44" s="380" t="s">
        <v>304</v>
      </c>
      <c r="H44" s="381"/>
      <c r="I44" s="382"/>
      <c r="J44" s="383"/>
      <c r="K44" s="480" t="s">
        <v>301</v>
      </c>
      <c r="L44" s="481" t="s">
        <v>302</v>
      </c>
      <c r="M44" s="217"/>
      <c r="N44" s="9"/>
      <c r="O44" s="9"/>
      <c r="P44" s="9"/>
      <c r="Q44" s="9"/>
      <c r="R44" s="365"/>
      <c r="S44" s="217"/>
      <c r="T44" s="217"/>
      <c r="U44" s="217"/>
      <c r="V44" s="217"/>
      <c r="W44" s="217"/>
      <c r="X44" s="217"/>
      <c r="Y44" s="217"/>
      <c r="Z44" s="217"/>
      <c r="AA44" s="217"/>
    </row>
    <row r="45" spans="2:27" s="70" customFormat="1">
      <c r="B45" s="217"/>
      <c r="C45" s="384"/>
      <c r="D45" s="370">
        <f>[1]!srMaxLETt(D48,2)/1000</f>
        <v>4.9943486701999991</v>
      </c>
      <c r="E45" s="415">
        <f>[1]!srMaxLETt2E(D48)</f>
        <v>1.125</v>
      </c>
      <c r="F45" s="371"/>
      <c r="G45" s="376">
        <f>[1]!srE2Rng(D48,E48)</f>
        <v>114.61</v>
      </c>
      <c r="H45" s="374"/>
      <c r="I45" s="375"/>
      <c r="J45" s="205"/>
      <c r="K45" s="421" t="e">
        <f>L45/F46</f>
        <v>#N/A</v>
      </c>
      <c r="L45" s="422" t="e">
        <f>D45*G48</f>
        <v>#N/A</v>
      </c>
      <c r="M45" s="217"/>
      <c r="N45" s="9"/>
      <c r="O45" s="9"/>
      <c r="P45" s="9"/>
      <c r="Q45" s="9"/>
      <c r="R45" s="365"/>
      <c r="S45" s="217"/>
      <c r="T45" s="217"/>
      <c r="U45" s="217"/>
      <c r="V45" s="217"/>
      <c r="W45" s="217"/>
      <c r="X45" s="217"/>
      <c r="Y45" s="217"/>
      <c r="Z45" s="217"/>
      <c r="AA45" s="217"/>
    </row>
    <row r="46" spans="2:27">
      <c r="B46" s="9"/>
      <c r="C46" s="386"/>
      <c r="D46" s="361" t="s">
        <v>296</v>
      </c>
      <c r="E46" s="179" t="str">
        <f>[1]!srElmNm([1]!srInfoIonZ(D48))&amp;"-"</f>
        <v>Ar-</v>
      </c>
      <c r="F46" s="180">
        <f>[1]!srInfoIonA(D48)</f>
        <v>40</v>
      </c>
      <c r="G46" s="186" t="str">
        <f>[1]!srInfoTrgName(D48)</f>
        <v>Al</v>
      </c>
      <c r="H46" s="187"/>
      <c r="I46" s="188"/>
      <c r="J46" s="194"/>
      <c r="K46" s="128"/>
      <c r="L46" s="387"/>
      <c r="M46" s="9"/>
      <c r="N46" s="11"/>
      <c r="O46" s="11"/>
      <c r="P46" s="11"/>
      <c r="Q46" s="11"/>
    </row>
    <row r="47" spans="2:27">
      <c r="B47" s="9"/>
      <c r="C47" s="388"/>
      <c r="D47" s="356">
        <f>E48*F46</f>
        <v>400</v>
      </c>
      <c r="E47" s="178" t="s">
        <v>69</v>
      </c>
      <c r="F47" s="169"/>
      <c r="G47" s="183" t="s">
        <v>70</v>
      </c>
      <c r="H47" s="169"/>
      <c r="I47" s="196" t="s">
        <v>77</v>
      </c>
      <c r="J47" s="198" t="s">
        <v>78</v>
      </c>
      <c r="K47" s="197" t="s">
        <v>79</v>
      </c>
      <c r="L47" s="389" t="s">
        <v>74</v>
      </c>
      <c r="M47" s="9"/>
      <c r="N47" s="365"/>
      <c r="O47" s="365"/>
      <c r="P47" s="11"/>
      <c r="Q47" s="11"/>
    </row>
    <row r="48" spans="2:27" ht="14.25" thickBot="1">
      <c r="B48" s="9"/>
      <c r="C48" s="390" t="s">
        <v>55</v>
      </c>
      <c r="D48" s="391" t="s">
        <v>580</v>
      </c>
      <c r="E48" s="413">
        <f>E43</f>
        <v>10</v>
      </c>
      <c r="F48" s="393" t="s">
        <v>49</v>
      </c>
      <c r="G48" s="394" t="e">
        <f>[1]!srEnewt_eq_Th(D43,D48,E43,G43)</f>
        <v>#N/A</v>
      </c>
      <c r="H48" s="393" t="s">
        <v>49</v>
      </c>
      <c r="I48" s="407" t="e">
        <f>[1]!srEnew(D48,E48,G48)</f>
        <v>#VALUE!</v>
      </c>
      <c r="J48" s="414" t="e">
        <f>I48*F46</f>
        <v>#VALUE!</v>
      </c>
      <c r="K48" s="397" t="e">
        <f>E48-I48</f>
        <v>#VALUE!</v>
      </c>
      <c r="L48" s="398" t="e">
        <f>K48*F46</f>
        <v>#VALUE!</v>
      </c>
      <c r="M48" s="9"/>
      <c r="O48" s="819"/>
    </row>
    <row r="49" spans="2:27">
      <c r="B49" s="9"/>
      <c r="C49" s="9"/>
      <c r="D49" s="9"/>
      <c r="E49" s="9"/>
      <c r="F49" s="9"/>
      <c r="G49" s="211" t="s">
        <v>80</v>
      </c>
      <c r="H49" s="9"/>
      <c r="J49" s="839" t="e">
        <f>J48</f>
        <v>#VALUE!</v>
      </c>
      <c r="K49" s="9"/>
      <c r="L49" s="9"/>
      <c r="M49" s="9"/>
      <c r="O49" s="819"/>
    </row>
    <row r="50" spans="2:27">
      <c r="B50" s="9"/>
      <c r="C50" s="9"/>
      <c r="D50" s="9"/>
      <c r="E50" s="9"/>
      <c r="F50" s="9"/>
      <c r="G50" s="9"/>
      <c r="H50" s="9"/>
      <c r="I50" s="216" t="s">
        <v>76</v>
      </c>
      <c r="J50" s="9"/>
      <c r="K50" s="9"/>
      <c r="L50" s="9"/>
      <c r="M50" s="9"/>
    </row>
    <row r="51" spans="2:27" ht="14.25">
      <c r="B51" s="9"/>
      <c r="C51" s="336"/>
      <c r="D51" s="334" t="s">
        <v>253</v>
      </c>
      <c r="E51" s="88"/>
      <c r="F51" s="169"/>
      <c r="G51" s="169"/>
      <c r="H51" s="169"/>
      <c r="I51" s="169"/>
      <c r="J51" s="169"/>
      <c r="K51" s="9"/>
      <c r="L51" s="9"/>
      <c r="M51" s="9"/>
      <c r="N51" s="11"/>
      <c r="O51" s="11"/>
      <c r="P51" s="11"/>
      <c r="Q51" s="11"/>
    </row>
    <row r="52" spans="2:27" ht="14.25" thickBot="1">
      <c r="B52" s="9"/>
      <c r="C52" s="9"/>
      <c r="D52" s="170"/>
      <c r="E52" s="169"/>
      <c r="F52" s="90"/>
      <c r="G52" s="366"/>
      <c r="H52" s="236"/>
      <c r="I52" s="819" t="s">
        <v>602</v>
      </c>
      <c r="J52" s="169"/>
      <c r="K52" s="9"/>
      <c r="L52" s="9"/>
      <c r="M52" s="9"/>
      <c r="N52" s="11"/>
      <c r="O52" s="11"/>
      <c r="P52" s="11"/>
      <c r="Q52" s="11"/>
    </row>
    <row r="53" spans="2:27" s="9" customFormat="1">
      <c r="C53" s="399"/>
      <c r="D53" s="400" t="s">
        <v>290</v>
      </c>
      <c r="E53" s="379" t="s">
        <v>292</v>
      </c>
      <c r="F53" s="378"/>
      <c r="G53" s="380" t="s">
        <v>293</v>
      </c>
      <c r="H53" s="401"/>
      <c r="I53" s="402"/>
      <c r="J53" s="402"/>
      <c r="K53" s="410" t="s">
        <v>295</v>
      </c>
      <c r="L53" s="479" t="s">
        <v>300</v>
      </c>
      <c r="N53" s="840" t="s">
        <v>581</v>
      </c>
      <c r="O53" s="841"/>
      <c r="P53" s="842" t="s">
        <v>573</v>
      </c>
      <c r="Q53" s="842" t="s">
        <v>574</v>
      </c>
      <c r="R53" s="112"/>
    </row>
    <row r="54" spans="2:27" s="9" customFormat="1">
      <c r="C54" s="403"/>
      <c r="D54" s="370">
        <f>[1]!srMaxLETt(D58,2)/1000</f>
        <v>84.054441069999996</v>
      </c>
      <c r="E54" s="415">
        <f>[1]!srMaxLETt2E(D58)</f>
        <v>9.1370558375634516</v>
      </c>
      <c r="F54" s="371"/>
      <c r="G54" s="376">
        <f>[1]!srE2Rng(D58,E58)</f>
        <v>30.384499999999999</v>
      </c>
      <c r="H54" s="372"/>
      <c r="I54" s="202"/>
      <c r="J54" s="202"/>
      <c r="K54" s="373">
        <f>L54/F55</f>
        <v>2.1333614484771575</v>
      </c>
      <c r="L54" s="385">
        <f>D54*G58</f>
        <v>420.27220534999998</v>
      </c>
      <c r="N54" s="843" t="s">
        <v>566</v>
      </c>
      <c r="O54" s="844" t="s">
        <v>564</v>
      </c>
      <c r="P54" s="844" t="s">
        <v>605</v>
      </c>
      <c r="Q54" s="844" t="s">
        <v>572</v>
      </c>
      <c r="R54" s="295" t="s">
        <v>579</v>
      </c>
    </row>
    <row r="55" spans="2:27">
      <c r="B55" s="9"/>
      <c r="C55" s="386"/>
      <c r="D55" s="112"/>
      <c r="E55" s="171" t="str">
        <f>[1]!srElmNm([1]!srInfoIonZ(D58))&amp;"-"</f>
        <v>Au-</v>
      </c>
      <c r="F55" s="172">
        <f>[1]!srInfoIonA(D58)</f>
        <v>197</v>
      </c>
      <c r="G55" s="186" t="str">
        <f>[1]!srInfoTrgName(D58)</f>
        <v>Au</v>
      </c>
      <c r="H55" s="187"/>
      <c r="I55" s="362" t="str">
        <f>IF((I58&lt;=0),"Eu11&lt;=0","")</f>
        <v/>
      </c>
      <c r="J55" s="188"/>
      <c r="K55" s="128"/>
      <c r="L55" s="387"/>
      <c r="M55" s="9"/>
      <c r="N55" s="823" t="s">
        <v>569</v>
      </c>
      <c r="O55" s="823" t="s">
        <v>527</v>
      </c>
      <c r="P55" s="821" t="s">
        <v>530</v>
      </c>
      <c r="Q55" s="837" t="s">
        <v>571</v>
      </c>
    </row>
    <row r="56" spans="2:27">
      <c r="B56" s="9"/>
      <c r="C56" s="388"/>
      <c r="D56" s="360" t="s">
        <v>277</v>
      </c>
      <c r="E56" s="87" t="s">
        <v>42</v>
      </c>
      <c r="F56" s="169"/>
      <c r="G56" s="189" t="s">
        <v>63</v>
      </c>
      <c r="H56" s="169"/>
      <c r="I56" s="190" t="s">
        <v>64</v>
      </c>
      <c r="J56" s="190" t="s">
        <v>65</v>
      </c>
      <c r="K56" s="91" t="s">
        <v>66</v>
      </c>
      <c r="L56" s="404" t="s">
        <v>67</v>
      </c>
      <c r="M56" s="9"/>
      <c r="N56" s="823" t="s">
        <v>527</v>
      </c>
      <c r="O56" s="837" t="s">
        <v>570</v>
      </c>
      <c r="P56" s="821" t="s">
        <v>530</v>
      </c>
      <c r="Q56" s="837" t="s">
        <v>571</v>
      </c>
    </row>
    <row r="57" spans="2:27">
      <c r="B57" s="9"/>
      <c r="C57" s="388"/>
      <c r="D57" s="356">
        <f>E58*F55</f>
        <v>1970</v>
      </c>
      <c r="E57" s="87" t="s">
        <v>0</v>
      </c>
      <c r="F57" s="169"/>
      <c r="G57" s="189" t="s">
        <v>45</v>
      </c>
      <c r="H57" s="169"/>
      <c r="I57" s="190" t="s">
        <v>0</v>
      </c>
      <c r="J57" s="190" t="s">
        <v>68</v>
      </c>
      <c r="K57" s="91" t="s">
        <v>0</v>
      </c>
      <c r="L57" s="404" t="s">
        <v>68</v>
      </c>
      <c r="M57" s="9"/>
      <c r="N57" s="837" t="s">
        <v>567</v>
      </c>
      <c r="O57" s="823" t="s">
        <v>527</v>
      </c>
      <c r="P57" s="821" t="s">
        <v>535</v>
      </c>
      <c r="Q57" s="821" t="s">
        <v>575</v>
      </c>
    </row>
    <row r="58" spans="2:27" ht="14.25" thickBot="1">
      <c r="B58" s="9"/>
      <c r="C58" s="411" t="s">
        <v>47</v>
      </c>
      <c r="D58" s="391" t="s">
        <v>450</v>
      </c>
      <c r="E58" s="175">
        <v>10</v>
      </c>
      <c r="F58" s="176" t="s">
        <v>49</v>
      </c>
      <c r="G58" s="191">
        <v>5</v>
      </c>
      <c r="H58" s="176" t="s">
        <v>49</v>
      </c>
      <c r="I58" s="129">
        <f>[1]!srEnew(D58,E58,G58)</f>
        <v>7.865693739424704</v>
      </c>
      <c r="J58" s="192">
        <f>I58*F55</f>
        <v>1549.5416666666667</v>
      </c>
      <c r="K58" s="193">
        <f>E58-I58</f>
        <v>2.134306260575296</v>
      </c>
      <c r="L58" s="412">
        <f>K58*F55</f>
        <v>420.45833333333331</v>
      </c>
      <c r="M58" s="9"/>
      <c r="N58" s="837" t="s">
        <v>571</v>
      </c>
      <c r="O58" s="837" t="s">
        <v>571</v>
      </c>
      <c r="P58" s="821" t="s">
        <v>535</v>
      </c>
      <c r="Q58" s="821" t="s">
        <v>576</v>
      </c>
      <c r="R58" s="803" t="s">
        <v>589</v>
      </c>
      <c r="W58" s="365" t="s">
        <v>590</v>
      </c>
    </row>
    <row r="59" spans="2:27" s="70" customFormat="1">
      <c r="B59" s="217"/>
      <c r="C59" s="377"/>
      <c r="D59" s="378" t="s">
        <v>294</v>
      </c>
      <c r="E59" s="379" t="s">
        <v>305</v>
      </c>
      <c r="F59" s="378"/>
      <c r="G59" s="380" t="s">
        <v>304</v>
      </c>
      <c r="H59" s="381"/>
      <c r="I59" s="382"/>
      <c r="J59" s="383"/>
      <c r="K59" s="480" t="s">
        <v>301</v>
      </c>
      <c r="L59" s="481" t="s">
        <v>302</v>
      </c>
      <c r="M59" s="217"/>
      <c r="R59" s="852" t="s">
        <v>603</v>
      </c>
      <c r="X59" s="217"/>
      <c r="Y59" s="217"/>
      <c r="Z59" s="217"/>
      <c r="AA59" s="217"/>
    </row>
    <row r="60" spans="2:27" s="70" customFormat="1">
      <c r="B60" s="217"/>
      <c r="C60" s="384"/>
      <c r="D60" s="370">
        <f>[1]!srMaxLETt(D63,2)/1000</f>
        <v>4.9943486701999991</v>
      </c>
      <c r="E60" s="415">
        <f>[1]!srMaxLETt2E(D63)</f>
        <v>1.125</v>
      </c>
      <c r="F60" s="371"/>
      <c r="G60" s="423">
        <f>[1]!srE2Rng(D63,E63)</f>
        <v>88.497583756345179</v>
      </c>
      <c r="H60" s="374"/>
      <c r="I60" s="375"/>
      <c r="J60" s="205"/>
      <c r="K60" s="373">
        <f>L60/F61</f>
        <v>0.62429358377499988</v>
      </c>
      <c r="L60" s="385">
        <f>D60*G63</f>
        <v>24.971743350999994</v>
      </c>
      <c r="M60" s="217"/>
      <c r="N60" s="837"/>
      <c r="O60" s="837"/>
      <c r="P60" s="821"/>
      <c r="Q60" s="821"/>
      <c r="R60" s="9"/>
      <c r="S60" s="217"/>
      <c r="T60" s="217"/>
      <c r="U60" s="217"/>
      <c r="V60" s="217"/>
      <c r="W60" s="365"/>
      <c r="X60" s="217"/>
      <c r="Y60" s="217"/>
      <c r="Z60" s="217"/>
      <c r="AA60" s="217"/>
    </row>
    <row r="61" spans="2:27">
      <c r="B61" s="9"/>
      <c r="C61" s="386"/>
      <c r="D61" s="361" t="s">
        <v>278</v>
      </c>
      <c r="E61" s="179" t="str">
        <f>[1]!srElmNm([1]!srInfoIonZ(D63))&amp;"-"</f>
        <v>Ar-</v>
      </c>
      <c r="F61" s="180">
        <f>[1]!srInfoIonA(D63)</f>
        <v>40</v>
      </c>
      <c r="G61" s="186" t="str">
        <f>[1]!srInfoTrgName(D63)</f>
        <v>Al</v>
      </c>
      <c r="H61" s="187"/>
      <c r="I61" s="188"/>
      <c r="J61" s="194"/>
      <c r="K61" s="128"/>
      <c r="L61" s="387"/>
      <c r="M61" s="9"/>
      <c r="N61" s="837"/>
      <c r="O61" s="837"/>
      <c r="P61" s="821"/>
      <c r="Q61" s="821"/>
    </row>
    <row r="62" spans="2:27">
      <c r="B62" s="9"/>
      <c r="C62" s="388"/>
      <c r="D62" s="356">
        <f>E63*F61</f>
        <v>329.17868709373636</v>
      </c>
      <c r="E62" s="182" t="s">
        <v>52</v>
      </c>
      <c r="F62" s="169"/>
      <c r="G62" s="199" t="s">
        <v>81</v>
      </c>
      <c r="H62" s="169"/>
      <c r="I62" s="198" t="s">
        <v>82</v>
      </c>
      <c r="J62" s="196" t="s">
        <v>72</v>
      </c>
      <c r="K62" s="197" t="s">
        <v>79</v>
      </c>
      <c r="L62" s="389" t="s">
        <v>74</v>
      </c>
      <c r="M62" s="9"/>
      <c r="N62" s="837" t="s">
        <v>571</v>
      </c>
      <c r="O62" s="837" t="s">
        <v>571</v>
      </c>
      <c r="P62" s="821" t="s">
        <v>535</v>
      </c>
      <c r="Q62" s="821" t="s">
        <v>592</v>
      </c>
      <c r="R62" s="9" t="s">
        <v>593</v>
      </c>
      <c r="W62" s="365" t="s">
        <v>594</v>
      </c>
    </row>
    <row r="63" spans="2:27" ht="14.25" thickBot="1">
      <c r="B63" s="9"/>
      <c r="C63" s="390" t="s">
        <v>55</v>
      </c>
      <c r="D63" s="391" t="s">
        <v>580</v>
      </c>
      <c r="E63" s="394">
        <f>[1]!srEnew_eq_Eold(D58,D63,E58,G58)</f>
        <v>8.2294671773434089</v>
      </c>
      <c r="F63" s="393" t="s">
        <v>49</v>
      </c>
      <c r="G63" s="416">
        <f>G58</f>
        <v>5</v>
      </c>
      <c r="H63" s="393" t="s">
        <v>49</v>
      </c>
      <c r="I63" s="395">
        <f>[1]!srEnew(D63,E63,G63)</f>
        <v>7.865693739424704</v>
      </c>
      <c r="J63" s="396">
        <f>I63*F61</f>
        <v>314.62774957698815</v>
      </c>
      <c r="K63" s="397">
        <f>E63-I63</f>
        <v>0.36377343791870498</v>
      </c>
      <c r="L63" s="398">
        <f>K63*F61</f>
        <v>14.550937516748199</v>
      </c>
      <c r="M63" s="9"/>
      <c r="N63" s="837" t="s">
        <v>571</v>
      </c>
      <c r="O63" s="837" t="s">
        <v>571</v>
      </c>
      <c r="P63" s="821" t="s">
        <v>535</v>
      </c>
      <c r="Q63" s="821" t="s">
        <v>578</v>
      </c>
      <c r="R63" s="9" t="s">
        <v>577</v>
      </c>
      <c r="W63" s="365" t="s">
        <v>595</v>
      </c>
    </row>
    <row r="64" spans="2:27">
      <c r="B64" s="9"/>
      <c r="C64" s="9"/>
      <c r="D64" s="9"/>
      <c r="E64" s="211" t="s">
        <v>83</v>
      </c>
      <c r="F64" s="9"/>
      <c r="G64" s="9"/>
      <c r="H64" s="9"/>
      <c r="I64" s="839">
        <f>I63</f>
        <v>7.865693739424704</v>
      </c>
      <c r="J64" s="184"/>
      <c r="K64" s="9"/>
      <c r="L64" s="9"/>
      <c r="M64" s="9"/>
      <c r="N64" s="838"/>
      <c r="O64" s="838"/>
      <c r="P64" s="786"/>
      <c r="Q64" s="786"/>
    </row>
    <row r="65" spans="2:27">
      <c r="B65" s="9"/>
      <c r="C65" s="9"/>
      <c r="D65" s="9"/>
      <c r="E65" s="9"/>
      <c r="F65" s="9"/>
      <c r="G65" s="9"/>
      <c r="H65" s="9"/>
      <c r="I65" s="216" t="s">
        <v>76</v>
      </c>
      <c r="J65" s="9"/>
      <c r="K65" s="9"/>
      <c r="L65" s="9"/>
      <c r="M65" s="9"/>
      <c r="N65" s="823" t="s">
        <v>527</v>
      </c>
      <c r="O65" s="837" t="s">
        <v>531</v>
      </c>
      <c r="P65" s="821" t="s">
        <v>312</v>
      </c>
      <c r="Q65" s="28"/>
      <c r="R65" s="9" t="s">
        <v>598</v>
      </c>
    </row>
    <row r="66" spans="2:27" ht="14.25">
      <c r="B66" s="9"/>
      <c r="C66" s="336"/>
      <c r="D66" s="334" t="s">
        <v>252</v>
      </c>
      <c r="E66" s="88"/>
      <c r="F66" s="169"/>
      <c r="G66" s="169"/>
      <c r="H66" s="169"/>
      <c r="I66" s="169"/>
      <c r="J66" s="169"/>
      <c r="K66" s="9"/>
      <c r="L66" s="9"/>
      <c r="M66" s="9"/>
      <c r="N66" s="11"/>
      <c r="O66" s="11"/>
      <c r="P66" s="11"/>
      <c r="Q66" s="11"/>
    </row>
    <row r="67" spans="2:27" ht="14.25" thickBot="1">
      <c r="B67" s="9"/>
      <c r="C67" s="9"/>
      <c r="D67" s="170"/>
      <c r="E67" s="169"/>
      <c r="F67" s="90"/>
      <c r="G67" s="366"/>
      <c r="H67" s="236"/>
      <c r="I67" s="819" t="s">
        <v>521</v>
      </c>
      <c r="J67" s="169"/>
      <c r="K67" s="9"/>
      <c r="L67" s="9"/>
      <c r="M67" s="9"/>
      <c r="N67" s="11"/>
      <c r="O67" s="11"/>
      <c r="P67" s="11"/>
      <c r="Q67" s="11"/>
    </row>
    <row r="68" spans="2:27" s="9" customFormat="1" ht="12">
      <c r="C68" s="399"/>
      <c r="D68" s="400" t="s">
        <v>290</v>
      </c>
      <c r="E68" s="379" t="s">
        <v>292</v>
      </c>
      <c r="F68" s="378"/>
      <c r="G68" s="380" t="s">
        <v>293</v>
      </c>
      <c r="H68" s="401"/>
      <c r="I68" s="402"/>
      <c r="J68" s="402"/>
      <c r="K68" s="410" t="s">
        <v>295</v>
      </c>
      <c r="L68" s="479" t="s">
        <v>300</v>
      </c>
      <c r="N68" s="845" t="s">
        <v>582</v>
      </c>
      <c r="O68" s="539"/>
      <c r="P68" s="540"/>
      <c r="Q68" s="541"/>
    </row>
    <row r="69" spans="2:27" s="9" customFormat="1" ht="12">
      <c r="C69" s="403"/>
      <c r="D69" s="370">
        <f>[1]!srMaxLETt(D73,2)/1000</f>
        <v>4.9943486701999991</v>
      </c>
      <c r="E69" s="415">
        <f>[1]!srMaxLETt2E(D73)</f>
        <v>1.125</v>
      </c>
      <c r="F69" s="371"/>
      <c r="G69" s="376">
        <f>[1]!srE2Rng(D73,E73)</f>
        <v>114.61</v>
      </c>
      <c r="H69" s="372"/>
      <c r="I69" s="202"/>
      <c r="J69" s="202"/>
      <c r="K69" s="373">
        <f>L69/F70</f>
        <v>0.62429358377499988</v>
      </c>
      <c r="L69" s="385">
        <f>D69*G73</f>
        <v>24.971743350999994</v>
      </c>
      <c r="N69" s="542" t="s">
        <v>320</v>
      </c>
      <c r="O69" s="847"/>
      <c r="P69" s="543" t="s">
        <v>42</v>
      </c>
      <c r="Q69" s="544" t="s">
        <v>319</v>
      </c>
    </row>
    <row r="70" spans="2:27">
      <c r="B70" s="9"/>
      <c r="C70" s="386"/>
      <c r="D70" s="112"/>
      <c r="E70" s="171" t="str">
        <f>[1]!srElmNm([1]!srInfoIonZ(D73))&amp;"-"</f>
        <v>Ar-</v>
      </c>
      <c r="F70" s="172">
        <f>[1]!srInfoIonA(D73)</f>
        <v>40</v>
      </c>
      <c r="G70" s="186" t="str">
        <f>[1]!srInfoTrgName(D73)</f>
        <v>Al</v>
      </c>
      <c r="H70" s="187"/>
      <c r="I70" s="362" t="str">
        <f>IF((G73&gt;G69),"Eu11&lt;0","")</f>
        <v/>
      </c>
      <c r="J70" s="362" t="str">
        <f>IF((J73&gt;D77),"Et11&gt;Et20","")</f>
        <v/>
      </c>
      <c r="K70" s="128"/>
      <c r="L70" s="387"/>
      <c r="M70" s="9"/>
      <c r="N70" s="550" t="s">
        <v>583</v>
      </c>
      <c r="P70" s="535"/>
      <c r="Q70" s="535"/>
    </row>
    <row r="71" spans="2:27">
      <c r="B71" s="9"/>
      <c r="C71" s="388"/>
      <c r="D71" s="360" t="s">
        <v>277</v>
      </c>
      <c r="E71" s="87" t="s">
        <v>42</v>
      </c>
      <c r="F71" s="169"/>
      <c r="G71" s="189" t="s">
        <v>63</v>
      </c>
      <c r="H71" s="169"/>
      <c r="I71" s="190" t="s">
        <v>64</v>
      </c>
      <c r="J71" s="190" t="s">
        <v>65</v>
      </c>
      <c r="K71" s="91" t="s">
        <v>84</v>
      </c>
      <c r="L71" s="404" t="s">
        <v>85</v>
      </c>
      <c r="M71" s="9"/>
      <c r="N71" s="489" t="s">
        <v>527</v>
      </c>
      <c r="O71" s="846"/>
      <c r="P71" s="535" t="s">
        <v>527</v>
      </c>
      <c r="Q71" s="548" t="s">
        <v>585</v>
      </c>
      <c r="R71" s="365"/>
    </row>
    <row r="72" spans="2:27">
      <c r="B72" s="9"/>
      <c r="C72" s="388"/>
      <c r="D72" s="356">
        <f>E73*F70</f>
        <v>400</v>
      </c>
      <c r="E72" s="87" t="s">
        <v>0</v>
      </c>
      <c r="F72" s="169"/>
      <c r="G72" s="189" t="s">
        <v>45</v>
      </c>
      <c r="H72" s="169"/>
      <c r="I72" s="190" t="s">
        <v>0</v>
      </c>
      <c r="J72" s="190" t="s">
        <v>68</v>
      </c>
      <c r="K72" s="91" t="s">
        <v>0</v>
      </c>
      <c r="L72" s="404" t="s">
        <v>68</v>
      </c>
      <c r="M72" s="9"/>
      <c r="N72" s="550"/>
      <c r="O72" s="846"/>
      <c r="P72" s="535"/>
      <c r="Q72" s="535"/>
    </row>
    <row r="73" spans="2:27" ht="14.25" thickBot="1">
      <c r="B73" s="9"/>
      <c r="C73" s="411" t="s">
        <v>47</v>
      </c>
      <c r="D73" s="391" t="s">
        <v>580</v>
      </c>
      <c r="E73" s="175">
        <v>10</v>
      </c>
      <c r="F73" s="176" t="s">
        <v>49</v>
      </c>
      <c r="G73" s="191">
        <v>5</v>
      </c>
      <c r="H73" s="176" t="s">
        <v>49</v>
      </c>
      <c r="I73" s="129">
        <f>[1]!srEnew(D73,E73,G73)</f>
        <v>9.6727748691099471</v>
      </c>
      <c r="J73" s="192">
        <f>I73*F70</f>
        <v>386.91099476439786</v>
      </c>
      <c r="K73" s="193">
        <f>E73-I73</f>
        <v>0.3272251308900529</v>
      </c>
      <c r="L73" s="412">
        <f>K73*F70</f>
        <v>13.089005235602116</v>
      </c>
      <c r="M73" s="9"/>
      <c r="N73" s="673"/>
      <c r="O73" s="846"/>
      <c r="P73" s="535"/>
      <c r="Q73" s="535"/>
      <c r="R73" s="365"/>
    </row>
    <row r="74" spans="2:27" s="70" customFormat="1">
      <c r="B74" s="217"/>
      <c r="C74" s="377"/>
      <c r="D74" s="378" t="s">
        <v>294</v>
      </c>
      <c r="E74" s="379" t="s">
        <v>305</v>
      </c>
      <c r="F74" s="378"/>
      <c r="G74" s="380" t="s">
        <v>304</v>
      </c>
      <c r="H74" s="381"/>
      <c r="I74" s="382"/>
      <c r="J74" s="383"/>
      <c r="K74" s="480" t="s">
        <v>301</v>
      </c>
      <c r="L74" s="481" t="s">
        <v>302</v>
      </c>
      <c r="M74" s="217"/>
      <c r="N74" s="9"/>
      <c r="O74" s="9"/>
      <c r="P74" s="9"/>
      <c r="Q74" s="9"/>
      <c r="R74" s="365"/>
      <c r="S74" s="217"/>
      <c r="T74" s="217"/>
      <c r="U74" s="217"/>
      <c r="V74" s="217"/>
      <c r="W74" s="217"/>
      <c r="X74" s="217"/>
      <c r="Y74" s="217"/>
      <c r="Z74" s="217"/>
      <c r="AA74" s="217"/>
    </row>
    <row r="75" spans="2:27" s="70" customFormat="1">
      <c r="B75" s="217"/>
      <c r="C75" s="384"/>
      <c r="D75" s="370">
        <f>[1]!srMaxLETt(D78,2)/1000</f>
        <v>84.054441069999996</v>
      </c>
      <c r="E75" s="415">
        <f>[1]!srMaxLETt2E(D78)</f>
        <v>9.1370558375634516</v>
      </c>
      <c r="F75" s="371"/>
      <c r="G75" s="423">
        <f>[1]!srE2Rng(D78,E78)</f>
        <v>15.706282722513087</v>
      </c>
      <c r="H75" s="374"/>
      <c r="I75" s="375"/>
      <c r="J75" s="205"/>
      <c r="K75" s="373">
        <f>L75/F76</f>
        <v>2.1333614484771575</v>
      </c>
      <c r="L75" s="385">
        <f>D75*G78</f>
        <v>420.27220534999998</v>
      </c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</row>
    <row r="76" spans="2:27">
      <c r="B76" s="9"/>
      <c r="C76" s="386"/>
      <c r="D76" s="361" t="s">
        <v>278</v>
      </c>
      <c r="E76" s="179" t="str">
        <f>[1]!srElmNm([1]!srInfoIonZ(D78))&amp;"-"</f>
        <v>Au-</v>
      </c>
      <c r="F76" s="180">
        <f>[1]!srInfoIonA(D78)</f>
        <v>197</v>
      </c>
      <c r="G76" s="186" t="str">
        <f>[1]!srInfoTrgName(D78)</f>
        <v>Au</v>
      </c>
      <c r="H76" s="187"/>
      <c r="I76" s="188"/>
      <c r="J76" s="194"/>
      <c r="K76" s="128"/>
      <c r="L76" s="387"/>
      <c r="M76" s="9"/>
      <c r="N76" s="365"/>
      <c r="O76" s="365"/>
    </row>
    <row r="77" spans="2:27">
      <c r="B77" s="9"/>
      <c r="C77" s="388"/>
      <c r="D77" s="356">
        <f>E78*F76</f>
        <v>758.30333769633501</v>
      </c>
      <c r="E77" s="182" t="s">
        <v>52</v>
      </c>
      <c r="F77" s="169"/>
      <c r="G77" s="199" t="s">
        <v>81</v>
      </c>
      <c r="H77" s="169"/>
      <c r="I77" s="196" t="s">
        <v>77</v>
      </c>
      <c r="J77" s="198" t="s">
        <v>78</v>
      </c>
      <c r="K77" s="197" t="s">
        <v>79</v>
      </c>
      <c r="L77" s="389" t="s">
        <v>74</v>
      </c>
      <c r="M77" s="9"/>
      <c r="O77" s="819"/>
    </row>
    <row r="78" spans="2:27" ht="14.25" thickBot="1">
      <c r="B78" s="9"/>
      <c r="C78" s="390" t="s">
        <v>55</v>
      </c>
      <c r="D78" s="391" t="s">
        <v>450</v>
      </c>
      <c r="E78" s="394">
        <f>[1]!srEnewt_eq_Eold(D73,D78,E73,G73)</f>
        <v>3.8492555213011928</v>
      </c>
      <c r="F78" s="393" t="s">
        <v>49</v>
      </c>
      <c r="G78" s="416">
        <f>G73</f>
        <v>5</v>
      </c>
      <c r="H78" s="393" t="s">
        <v>49</v>
      </c>
      <c r="I78" s="407">
        <f>[1]!srEnew(D78,E78,G78)</f>
        <v>1.964015201849735</v>
      </c>
      <c r="J78" s="414">
        <f>I78*F76</f>
        <v>386.9109947643978</v>
      </c>
      <c r="K78" s="397">
        <f>E78-I78</f>
        <v>1.8852403194514578</v>
      </c>
      <c r="L78" s="398">
        <f>K78*F76</f>
        <v>371.39234293193715</v>
      </c>
      <c r="M78" s="9"/>
      <c r="O78" s="819"/>
    </row>
    <row r="79" spans="2:27">
      <c r="B79" s="9"/>
      <c r="C79" s="9"/>
      <c r="D79" s="9"/>
      <c r="E79" s="211" t="s">
        <v>86</v>
      </c>
      <c r="F79" s="9"/>
      <c r="G79" s="9"/>
      <c r="H79" s="9"/>
      <c r="J79" s="839">
        <f>J78</f>
        <v>386.9109947643978</v>
      </c>
      <c r="K79" s="9"/>
      <c r="L79" s="9"/>
      <c r="M79" s="9"/>
    </row>
    <row r="80" spans="2:27">
      <c r="B80" s="9"/>
      <c r="C80" s="9"/>
      <c r="D80" s="9"/>
      <c r="E80" s="9"/>
      <c r="F80" s="9"/>
      <c r="G80" s="9"/>
      <c r="H80" s="9"/>
      <c r="I80" s="216" t="s">
        <v>76</v>
      </c>
      <c r="J80" s="9"/>
      <c r="K80" s="9"/>
      <c r="L80" s="9"/>
      <c r="M80" s="9"/>
    </row>
    <row r="81" spans="2:27" ht="14.25">
      <c r="B81" s="9"/>
      <c r="C81" s="336"/>
      <c r="D81" s="334" t="s">
        <v>107</v>
      </c>
      <c r="E81" s="88" t="s">
        <v>87</v>
      </c>
      <c r="F81" s="169"/>
      <c r="G81" s="169"/>
      <c r="H81" s="169"/>
      <c r="I81" s="169"/>
      <c r="J81" s="169"/>
      <c r="K81" s="9"/>
      <c r="L81" s="9"/>
      <c r="M81" s="9"/>
      <c r="N81" s="11"/>
      <c r="O81" s="11"/>
      <c r="P81" s="11"/>
      <c r="Q81" s="11"/>
    </row>
    <row r="82" spans="2:27" ht="14.25" thickBot="1">
      <c r="B82" s="9"/>
      <c r="C82" s="9"/>
      <c r="D82" s="170"/>
      <c r="E82" s="169"/>
      <c r="F82" s="90"/>
      <c r="G82" s="366"/>
      <c r="H82" s="236"/>
      <c r="I82" s="169"/>
      <c r="J82" s="169"/>
      <c r="K82" s="9"/>
      <c r="L82" s="9"/>
      <c r="M82" s="9"/>
      <c r="N82" s="11"/>
      <c r="O82" s="11"/>
      <c r="P82" s="11"/>
      <c r="Q82" s="11"/>
    </row>
    <row r="83" spans="2:27" s="9" customFormat="1" ht="12">
      <c r="C83" s="399"/>
      <c r="D83" s="400" t="s">
        <v>290</v>
      </c>
      <c r="E83" s="379" t="s">
        <v>292</v>
      </c>
      <c r="F83" s="378"/>
      <c r="G83" s="380" t="s">
        <v>293</v>
      </c>
      <c r="H83" s="401"/>
      <c r="I83" s="402"/>
      <c r="J83" s="402"/>
      <c r="K83" s="410" t="s">
        <v>295</v>
      </c>
      <c r="L83" s="479" t="s">
        <v>300</v>
      </c>
    </row>
    <row r="84" spans="2:27" s="9" customFormat="1" ht="12">
      <c r="C84" s="403"/>
      <c r="D84" s="370">
        <f>[1]!srMaxLETt(D88,2)/1000</f>
        <v>84.054441069999996</v>
      </c>
      <c r="E84" s="415">
        <f>[1]!srMaxLETt2E(D88)</f>
        <v>9.1370558375634516</v>
      </c>
      <c r="F84" s="371"/>
      <c r="G84" s="376">
        <f>[1]!srE2Rng(D88,E88)</f>
        <v>30.384499999999999</v>
      </c>
      <c r="H84" s="372"/>
      <c r="I84" s="202"/>
      <c r="J84" s="202"/>
      <c r="K84" s="373">
        <f>L84/F85</f>
        <v>8.5334457939086299</v>
      </c>
      <c r="L84" s="385">
        <f>D84*G88</f>
        <v>1681.0888213999999</v>
      </c>
      <c r="O84" s="819" t="s">
        <v>522</v>
      </c>
    </row>
    <row r="85" spans="2:27">
      <c r="B85" s="9"/>
      <c r="C85" s="386"/>
      <c r="D85" s="112"/>
      <c r="E85" s="171" t="str">
        <f>[1]!srElmNm([1]!srInfoIonZ(D88))&amp;"-"</f>
        <v>Au-</v>
      </c>
      <c r="F85" s="172">
        <f>[1]!srInfoIonA(D88)</f>
        <v>197</v>
      </c>
      <c r="G85" s="186" t="str">
        <f>[1]!srInfoTrgName(D88)</f>
        <v>Au</v>
      </c>
      <c r="H85" s="187"/>
      <c r="I85" s="362" t="str">
        <f>IF((I88&lt;=0),"Eu11&lt;0","")</f>
        <v/>
      </c>
      <c r="J85" s="188"/>
      <c r="K85" s="128"/>
      <c r="L85" s="387"/>
      <c r="M85" s="9"/>
    </row>
    <row r="86" spans="2:27">
      <c r="B86" s="9"/>
      <c r="C86" s="388"/>
      <c r="D86" s="360" t="s">
        <v>277</v>
      </c>
      <c r="E86" s="87" t="s">
        <v>42</v>
      </c>
      <c r="F86" s="169"/>
      <c r="G86" s="189" t="s">
        <v>63</v>
      </c>
      <c r="H86" s="169"/>
      <c r="I86" s="190" t="s">
        <v>64</v>
      </c>
      <c r="J86" s="190" t="s">
        <v>65</v>
      </c>
      <c r="K86" s="91" t="s">
        <v>66</v>
      </c>
      <c r="L86" s="404" t="s">
        <v>67</v>
      </c>
      <c r="M86" s="9"/>
      <c r="R86" s="365"/>
    </row>
    <row r="87" spans="2:27">
      <c r="B87" s="9"/>
      <c r="C87" s="388"/>
      <c r="D87" s="356">
        <f>E88*F85</f>
        <v>1970</v>
      </c>
      <c r="E87" s="87" t="s">
        <v>0</v>
      </c>
      <c r="F87" s="169"/>
      <c r="G87" s="189" t="s">
        <v>45</v>
      </c>
      <c r="H87" s="169"/>
      <c r="I87" s="190" t="s">
        <v>0</v>
      </c>
      <c r="J87" s="190" t="s">
        <v>68</v>
      </c>
      <c r="K87" s="91" t="s">
        <v>0</v>
      </c>
      <c r="L87" s="404" t="s">
        <v>68</v>
      </c>
      <c r="M87" s="9"/>
    </row>
    <row r="88" spans="2:27" ht="14.25" thickBot="1">
      <c r="B88" s="9"/>
      <c r="C88" s="411" t="s">
        <v>47</v>
      </c>
      <c r="D88" s="391" t="s">
        <v>486</v>
      </c>
      <c r="E88" s="175">
        <v>10</v>
      </c>
      <c r="F88" s="176" t="s">
        <v>49</v>
      </c>
      <c r="G88" s="191">
        <v>20</v>
      </c>
      <c r="H88" s="176" t="s">
        <v>49</v>
      </c>
      <c r="I88" s="129">
        <f>[1]!srEnew(D88,E88,G88)</f>
        <v>1.8549625968474484</v>
      </c>
      <c r="J88" s="192">
        <f>I88*F85</f>
        <v>365.42763157894734</v>
      </c>
      <c r="K88" s="193">
        <f>E88-I88</f>
        <v>8.1450374031525516</v>
      </c>
      <c r="L88" s="412">
        <f>K88*F85</f>
        <v>1604.5723684210527</v>
      </c>
      <c r="M88" s="9"/>
      <c r="R88" s="365"/>
    </row>
    <row r="89" spans="2:27" s="70" customFormat="1">
      <c r="B89" s="217"/>
      <c r="C89" s="377"/>
      <c r="D89" s="378" t="s">
        <v>294</v>
      </c>
      <c r="E89" s="379" t="s">
        <v>305</v>
      </c>
      <c r="F89" s="378"/>
      <c r="G89" s="380" t="s">
        <v>304</v>
      </c>
      <c r="H89" s="381"/>
      <c r="I89" s="382"/>
      <c r="J89" s="383"/>
      <c r="K89" s="480" t="s">
        <v>301</v>
      </c>
      <c r="L89" s="481" t="s">
        <v>302</v>
      </c>
      <c r="M89" s="217"/>
      <c r="N89" s="9"/>
      <c r="O89" s="9"/>
      <c r="P89" s="9"/>
      <c r="Q89" s="9"/>
      <c r="R89" s="365"/>
      <c r="S89" s="217"/>
      <c r="T89" s="217"/>
      <c r="U89" s="217"/>
      <c r="V89" s="217"/>
      <c r="W89" s="217"/>
      <c r="X89" s="217"/>
      <c r="Y89" s="217"/>
      <c r="Z89" s="217"/>
      <c r="AA89" s="217"/>
    </row>
    <row r="90" spans="2:27" s="70" customFormat="1">
      <c r="B90" s="217"/>
      <c r="C90" s="384"/>
      <c r="D90" s="370">
        <f>[1]!srMaxLETt(D93,2)/1000</f>
        <v>4.3327230948000004</v>
      </c>
      <c r="E90" s="415">
        <f>[1]!srMaxLETt2E(D93)</f>
        <v>1.125</v>
      </c>
      <c r="F90" s="371"/>
      <c r="G90" s="376">
        <f>[1]!srE2Rng(D93,E93)</f>
        <v>130.47</v>
      </c>
      <c r="H90" s="374"/>
      <c r="I90" s="375"/>
      <c r="J90" s="205"/>
      <c r="K90" s="421">
        <f>L90/F91</f>
        <v>11.912730413030436</v>
      </c>
      <c r="L90" s="422">
        <f>D90*G93</f>
        <v>476.50921652121747</v>
      </c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</row>
    <row r="91" spans="2:27">
      <c r="B91" s="9"/>
      <c r="C91" s="386"/>
      <c r="D91" s="361" t="s">
        <v>278</v>
      </c>
      <c r="E91" s="179" t="str">
        <f>[1]!srElmNm([1]!srInfoIonZ(D93))&amp;"-"</f>
        <v>Ar-</v>
      </c>
      <c r="F91" s="180">
        <f>[1]!srInfoIonA(D93)</f>
        <v>40</v>
      </c>
      <c r="G91" s="186" t="str">
        <f>[1]!srInfoTrgName(D93)</f>
        <v>Si</v>
      </c>
      <c r="H91" s="187"/>
      <c r="I91" s="188"/>
      <c r="J91" s="194"/>
      <c r="K91" s="128"/>
      <c r="L91" s="387"/>
      <c r="M91" s="9"/>
      <c r="N91" s="365"/>
      <c r="O91" s="819"/>
    </row>
    <row r="92" spans="2:27">
      <c r="B92" s="9"/>
      <c r="C92" s="388"/>
      <c r="D92" s="356">
        <f>E93*F91</f>
        <v>400</v>
      </c>
      <c r="E92" s="178" t="s">
        <v>69</v>
      </c>
      <c r="F92" s="169"/>
      <c r="G92" s="183" t="s">
        <v>70</v>
      </c>
      <c r="H92" s="169"/>
      <c r="I92" s="196" t="s">
        <v>82</v>
      </c>
      <c r="J92" s="196" t="s">
        <v>72</v>
      </c>
      <c r="K92" s="200" t="s">
        <v>73</v>
      </c>
      <c r="L92" s="389" t="s">
        <v>74</v>
      </c>
      <c r="M92" s="9"/>
      <c r="O92" s="819"/>
    </row>
    <row r="93" spans="2:27" ht="14.25" thickBot="1">
      <c r="B93" s="9"/>
      <c r="C93" s="390" t="s">
        <v>55</v>
      </c>
      <c r="D93" s="391" t="s">
        <v>430</v>
      </c>
      <c r="E93" s="413">
        <f>E88</f>
        <v>10</v>
      </c>
      <c r="F93" s="393" t="s">
        <v>49</v>
      </c>
      <c r="G93" s="394">
        <f>[1]!srDEu_eq_Th(D88,D93,E88,G88)</f>
        <v>109.97915308576009</v>
      </c>
      <c r="H93" s="393" t="s">
        <v>49</v>
      </c>
      <c r="I93" s="407">
        <f>[1]!srEnew(D93,E93,G93)</f>
        <v>1.8549625968474481</v>
      </c>
      <c r="J93" s="396">
        <f>I93*F91</f>
        <v>74.19850387389792</v>
      </c>
      <c r="K93" s="417">
        <f>E93-I93</f>
        <v>8.1450374031525516</v>
      </c>
      <c r="L93" s="398">
        <f>K93*F91</f>
        <v>325.80149612610205</v>
      </c>
      <c r="M93" s="9"/>
      <c r="O93" s="819"/>
    </row>
    <row r="94" spans="2:27">
      <c r="B94" s="9"/>
      <c r="C94" s="9"/>
      <c r="D94" s="9"/>
      <c r="E94" s="9"/>
      <c r="F94" s="9"/>
      <c r="G94" s="211" t="s">
        <v>88</v>
      </c>
      <c r="H94" s="9"/>
      <c r="J94" s="184"/>
      <c r="K94" s="839">
        <f>K93</f>
        <v>8.1450374031525516</v>
      </c>
      <c r="L94" s="9"/>
      <c r="M94" s="9"/>
    </row>
    <row r="95" spans="2:27">
      <c r="B95" s="9"/>
      <c r="C95" s="9"/>
      <c r="D95" s="9"/>
      <c r="E95" s="9"/>
      <c r="F95" s="9"/>
      <c r="G95" s="9"/>
      <c r="H95" s="9"/>
      <c r="I95" s="216" t="s">
        <v>76</v>
      </c>
      <c r="J95" s="9"/>
      <c r="K95" s="9"/>
      <c r="L95" s="9"/>
      <c r="M95" s="9"/>
    </row>
    <row r="96" spans="2:27" ht="14.25">
      <c r="B96" s="9"/>
      <c r="C96" s="336"/>
      <c r="D96" s="334" t="s">
        <v>89</v>
      </c>
      <c r="E96" s="88"/>
      <c r="F96" s="169"/>
      <c r="G96" s="169"/>
      <c r="H96" s="169"/>
      <c r="I96" s="169"/>
      <c r="J96" s="169"/>
      <c r="K96" s="9"/>
      <c r="L96" s="9"/>
      <c r="M96" s="9"/>
      <c r="N96" s="11"/>
      <c r="O96" s="11"/>
      <c r="P96" s="11"/>
      <c r="Q96" s="11"/>
    </row>
    <row r="97" spans="2:27" ht="14.25" thickBot="1">
      <c r="B97" s="9"/>
      <c r="C97" s="9"/>
      <c r="D97" s="170"/>
      <c r="E97" s="169"/>
      <c r="F97" s="90"/>
      <c r="G97" s="366"/>
      <c r="H97" s="236"/>
      <c r="I97" s="169"/>
      <c r="J97" s="169"/>
      <c r="K97" s="9"/>
      <c r="L97" s="9"/>
      <c r="M97" s="9"/>
      <c r="N97" s="11"/>
      <c r="O97" s="11"/>
      <c r="P97" s="11"/>
      <c r="Q97" s="11"/>
    </row>
    <row r="98" spans="2:27" s="9" customFormat="1">
      <c r="C98" s="399"/>
      <c r="D98" s="400" t="s">
        <v>290</v>
      </c>
      <c r="E98" s="379" t="s">
        <v>292</v>
      </c>
      <c r="F98" s="378"/>
      <c r="G98" s="380" t="s">
        <v>293</v>
      </c>
      <c r="H98" s="401"/>
      <c r="I98" s="402"/>
      <c r="J98" s="402"/>
      <c r="K98" s="410" t="s">
        <v>295</v>
      </c>
      <c r="L98" s="479" t="s">
        <v>300</v>
      </c>
      <c r="N98" s="840" t="s">
        <v>581</v>
      </c>
      <c r="O98" s="841"/>
      <c r="P98" s="842" t="s">
        <v>573</v>
      </c>
      <c r="Q98" s="842" t="s">
        <v>574</v>
      </c>
      <c r="R98" s="112"/>
      <c r="W98" s="488"/>
      <c r="X98" s="88"/>
    </row>
    <row r="99" spans="2:27" s="9" customFormat="1">
      <c r="C99" s="403"/>
      <c r="D99" s="370">
        <f>[1]!srMaxLETt(D103,2)/1000</f>
        <v>84.054441069999996</v>
      </c>
      <c r="E99" s="415">
        <f>[1]!srMaxLETt2E(D103)</f>
        <v>9.1370558375634516</v>
      </c>
      <c r="F99" s="371"/>
      <c r="G99" s="376">
        <f>[1]!srE2Rng(D103,E103)</f>
        <v>30.384499999999999</v>
      </c>
      <c r="H99" s="372"/>
      <c r="I99" s="202"/>
      <c r="J99" s="202"/>
      <c r="K99" s="373">
        <f>L99/F100</f>
        <v>8.5334457939086299</v>
      </c>
      <c r="L99" s="385">
        <f>D99*G103</f>
        <v>1681.0888213999999</v>
      </c>
      <c r="N99" s="843" t="s">
        <v>42</v>
      </c>
      <c r="O99" s="844" t="s">
        <v>564</v>
      </c>
      <c r="P99" s="844" t="s">
        <v>497</v>
      </c>
      <c r="Q99" s="844" t="s">
        <v>572</v>
      </c>
      <c r="R99" s="295" t="s">
        <v>579</v>
      </c>
      <c r="W99" s="488"/>
    </row>
    <row r="100" spans="2:27">
      <c r="B100" s="9"/>
      <c r="C100" s="386"/>
      <c r="D100" s="112"/>
      <c r="E100" s="171" t="str">
        <f>[1]!srElmNm([1]!srInfoIonZ(D103))&amp;"-"</f>
        <v>Au-</v>
      </c>
      <c r="F100" s="172">
        <f>[1]!srInfoIonA(D103)</f>
        <v>197</v>
      </c>
      <c r="G100" s="186" t="str">
        <f>[1]!srInfoTrgName(D103)</f>
        <v>Au</v>
      </c>
      <c r="H100" s="187"/>
      <c r="I100" s="362" t="str">
        <f>IF((I103&lt;=0),"Eu11&lt;0","")</f>
        <v/>
      </c>
      <c r="J100" s="362"/>
      <c r="K100" s="128"/>
      <c r="L100" s="418" t="str">
        <f>IF((L103&gt;D107),"dEt1&gt;Et20","")</f>
        <v>dEt1&gt;Et20</v>
      </c>
      <c r="M100" s="9"/>
      <c r="N100" s="823" t="s">
        <v>569</v>
      </c>
      <c r="O100" s="823" t="s">
        <v>527</v>
      </c>
      <c r="P100" s="821" t="s">
        <v>530</v>
      </c>
      <c r="Q100" s="837" t="s">
        <v>571</v>
      </c>
      <c r="W100" s="151"/>
    </row>
    <row r="101" spans="2:27">
      <c r="B101" s="9"/>
      <c r="C101" s="388"/>
      <c r="D101" s="360" t="s">
        <v>277</v>
      </c>
      <c r="E101" s="87" t="s">
        <v>42</v>
      </c>
      <c r="F101" s="169"/>
      <c r="G101" s="189" t="s">
        <v>63</v>
      </c>
      <c r="H101" s="169"/>
      <c r="I101" s="190" t="s">
        <v>64</v>
      </c>
      <c r="J101" s="190" t="s">
        <v>65</v>
      </c>
      <c r="K101" s="91" t="s">
        <v>66</v>
      </c>
      <c r="L101" s="404" t="s">
        <v>67</v>
      </c>
      <c r="M101" s="9"/>
      <c r="N101" s="823" t="s">
        <v>527</v>
      </c>
      <c r="O101" s="837" t="s">
        <v>570</v>
      </c>
      <c r="P101" s="821" t="s">
        <v>530</v>
      </c>
      <c r="Q101" s="837" t="s">
        <v>571</v>
      </c>
    </row>
    <row r="102" spans="2:27">
      <c r="B102" s="9"/>
      <c r="C102" s="388"/>
      <c r="D102" s="356">
        <f>E103*F100</f>
        <v>1970</v>
      </c>
      <c r="E102" s="87" t="s">
        <v>0</v>
      </c>
      <c r="F102" s="169"/>
      <c r="G102" s="189" t="s">
        <v>45</v>
      </c>
      <c r="H102" s="169"/>
      <c r="I102" s="190" t="s">
        <v>0</v>
      </c>
      <c r="J102" s="190" t="s">
        <v>68</v>
      </c>
      <c r="K102" s="91" t="s">
        <v>0</v>
      </c>
      <c r="L102" s="404" t="s">
        <v>68</v>
      </c>
      <c r="M102" s="9"/>
      <c r="N102" s="837" t="s">
        <v>567</v>
      </c>
      <c r="O102" s="823" t="s">
        <v>527</v>
      </c>
      <c r="P102" s="821" t="s">
        <v>535</v>
      </c>
      <c r="Q102" s="821" t="s">
        <v>575</v>
      </c>
    </row>
    <row r="103" spans="2:27" ht="14.25" thickBot="1">
      <c r="B103" s="9"/>
      <c r="C103" s="411" t="s">
        <v>47</v>
      </c>
      <c r="D103" s="391" t="s">
        <v>486</v>
      </c>
      <c r="E103" s="175">
        <v>10</v>
      </c>
      <c r="F103" s="176" t="s">
        <v>49</v>
      </c>
      <c r="G103" s="191">
        <v>20</v>
      </c>
      <c r="H103" s="176" t="s">
        <v>49</v>
      </c>
      <c r="I103" s="129">
        <f>[1]!srEnew(D103,E103,G103)</f>
        <v>1.8549625968474484</v>
      </c>
      <c r="J103" s="192">
        <f>I103*F100</f>
        <v>365.42763157894734</v>
      </c>
      <c r="K103" s="193">
        <f>E103-I103</f>
        <v>8.1450374031525516</v>
      </c>
      <c r="L103" s="412">
        <f>K103*F100</f>
        <v>1604.5723684210527</v>
      </c>
      <c r="M103" s="9"/>
      <c r="N103" s="837"/>
      <c r="O103" s="837"/>
      <c r="P103" s="821"/>
      <c r="Q103" s="821"/>
      <c r="R103" s="803"/>
      <c r="W103" s="365"/>
    </row>
    <row r="104" spans="2:27" s="70" customFormat="1">
      <c r="B104" s="217"/>
      <c r="C104" s="377"/>
      <c r="D104" s="378" t="s">
        <v>294</v>
      </c>
      <c r="E104" s="379" t="s">
        <v>305</v>
      </c>
      <c r="F104" s="378"/>
      <c r="G104" s="380" t="s">
        <v>304</v>
      </c>
      <c r="H104" s="381"/>
      <c r="I104" s="382"/>
      <c r="J104" s="383"/>
      <c r="K104" s="480" t="s">
        <v>301</v>
      </c>
      <c r="L104" s="481" t="s">
        <v>302</v>
      </c>
      <c r="M104" s="217"/>
      <c r="R104" s="852"/>
      <c r="X104" s="9"/>
      <c r="Y104" s="217"/>
      <c r="Z104" s="217"/>
      <c r="AA104" s="217"/>
    </row>
    <row r="105" spans="2:27" s="70" customFormat="1">
      <c r="B105" s="217"/>
      <c r="C105" s="384"/>
      <c r="D105" s="370">
        <f>[1]!srMaxLETt(D108,2)/1000</f>
        <v>4.3327230948000004</v>
      </c>
      <c r="E105" s="415">
        <f>[1]!srMaxLETt2E(D108)</f>
        <v>1.125</v>
      </c>
      <c r="F105" s="371"/>
      <c r="G105" s="376">
        <f>[1]!srE2Rng(D108,E108)</f>
        <v>130.47</v>
      </c>
      <c r="H105" s="374"/>
      <c r="I105" s="375"/>
      <c r="J105" s="205"/>
      <c r="K105" s="421" t="e">
        <f>L105/F106</f>
        <v>#N/A</v>
      </c>
      <c r="L105" s="422" t="e">
        <f>D105*G108</f>
        <v>#N/A</v>
      </c>
      <c r="M105" s="217"/>
      <c r="N105" s="837"/>
      <c r="O105" s="837"/>
      <c r="P105" s="821"/>
      <c r="Q105" s="821"/>
      <c r="R105" s="9"/>
      <c r="S105" s="9"/>
      <c r="T105" s="9"/>
      <c r="U105" s="9"/>
      <c r="V105" s="9"/>
      <c r="W105" s="365"/>
      <c r="X105" s="9"/>
      <c r="Y105" s="217"/>
      <c r="Z105" s="217"/>
      <c r="AA105" s="217"/>
    </row>
    <row r="106" spans="2:27">
      <c r="B106" s="9"/>
      <c r="C106" s="386"/>
      <c r="D106" s="361" t="s">
        <v>278</v>
      </c>
      <c r="E106" s="179" t="str">
        <f>[1]!srElmNm([1]!srInfoIonZ(D108))&amp;"-"</f>
        <v>Ar-</v>
      </c>
      <c r="F106" s="180">
        <f>[1]!srInfoIonA(D108)</f>
        <v>40</v>
      </c>
      <c r="G106" s="186" t="str">
        <f>[1]!srInfoTrgName(D108)</f>
        <v>Si</v>
      </c>
      <c r="H106" s="187"/>
      <c r="I106" s="188"/>
      <c r="J106" s="194"/>
      <c r="K106" s="128"/>
      <c r="L106" s="387"/>
      <c r="M106" s="9"/>
      <c r="N106" s="837" t="s">
        <v>571</v>
      </c>
      <c r="O106" s="837" t="s">
        <v>571</v>
      </c>
      <c r="P106" s="821" t="s">
        <v>535</v>
      </c>
      <c r="Q106" s="821" t="s">
        <v>596</v>
      </c>
      <c r="R106" s="9" t="s">
        <v>597</v>
      </c>
      <c r="S106" s="217"/>
      <c r="T106" s="217"/>
      <c r="U106" s="217"/>
      <c r="V106" s="217"/>
    </row>
    <row r="107" spans="2:27">
      <c r="B107" s="9"/>
      <c r="C107" s="388"/>
      <c r="D107" s="356">
        <f>E108*F106</f>
        <v>400</v>
      </c>
      <c r="E107" s="178" t="s">
        <v>69</v>
      </c>
      <c r="F107" s="169"/>
      <c r="G107" s="183" t="s">
        <v>70</v>
      </c>
      <c r="H107" s="169"/>
      <c r="I107" s="196" t="s">
        <v>77</v>
      </c>
      <c r="J107" s="196" t="s">
        <v>72</v>
      </c>
      <c r="K107" s="197" t="s">
        <v>79</v>
      </c>
      <c r="L107" s="419" t="s">
        <v>90</v>
      </c>
      <c r="M107" s="9"/>
      <c r="N107" s="837" t="s">
        <v>571</v>
      </c>
      <c r="O107" s="837" t="s">
        <v>571</v>
      </c>
      <c r="P107" s="821" t="s">
        <v>535</v>
      </c>
      <c r="Q107" s="821" t="s">
        <v>607</v>
      </c>
      <c r="R107" s="9" t="s">
        <v>608</v>
      </c>
      <c r="W107" s="365" t="s">
        <v>289</v>
      </c>
    </row>
    <row r="108" spans="2:27" ht="14.25" thickBot="1">
      <c r="B108" s="9"/>
      <c r="C108" s="390" t="s">
        <v>55</v>
      </c>
      <c r="D108" s="391" t="s">
        <v>430</v>
      </c>
      <c r="E108" s="413">
        <f>E103</f>
        <v>10</v>
      </c>
      <c r="F108" s="393" t="s">
        <v>49</v>
      </c>
      <c r="G108" s="394" t="e">
        <f>[1]!srDEt_eq_Th(D103,D108,E103,G103)</f>
        <v>#N/A</v>
      </c>
      <c r="H108" s="393" t="s">
        <v>49</v>
      </c>
      <c r="I108" s="407" t="e">
        <f>[1]!srEnew(D108,E108,G108)</f>
        <v>#VALUE!</v>
      </c>
      <c r="J108" s="396" t="e">
        <f>I108*F106</f>
        <v>#VALUE!</v>
      </c>
      <c r="K108" s="397" t="e">
        <f>E108-I108</f>
        <v>#VALUE!</v>
      </c>
      <c r="L108" s="420" t="e">
        <f>K108*F106</f>
        <v>#VALUE!</v>
      </c>
      <c r="M108" s="9"/>
      <c r="N108" s="837" t="s">
        <v>571</v>
      </c>
      <c r="O108" s="837" t="s">
        <v>571</v>
      </c>
      <c r="P108" s="821" t="s">
        <v>535</v>
      </c>
      <c r="Q108" s="821" t="s">
        <v>592</v>
      </c>
      <c r="R108" s="9" t="s">
        <v>593</v>
      </c>
      <c r="S108" s="217"/>
      <c r="T108" s="217"/>
      <c r="U108" s="217"/>
      <c r="V108" s="217"/>
      <c r="W108" s="365" t="s">
        <v>594</v>
      </c>
    </row>
    <row r="109" spans="2:27">
      <c r="B109" s="9"/>
      <c r="C109" s="9"/>
      <c r="D109" s="9"/>
      <c r="E109" s="9"/>
      <c r="F109" s="9"/>
      <c r="G109" s="211" t="s">
        <v>91</v>
      </c>
      <c r="H109" s="9"/>
      <c r="J109" s="184"/>
      <c r="K109" s="9"/>
      <c r="L109" s="839" t="e">
        <f>L108</f>
        <v>#VALUE!</v>
      </c>
      <c r="M109" s="9"/>
      <c r="N109" s="837" t="s">
        <v>571</v>
      </c>
      <c r="O109" s="837" t="s">
        <v>571</v>
      </c>
      <c r="P109" s="821" t="s">
        <v>535</v>
      </c>
      <c r="Q109" s="821" t="s">
        <v>578</v>
      </c>
      <c r="R109" s="9" t="s">
        <v>577</v>
      </c>
      <c r="W109" s="365" t="s">
        <v>595</v>
      </c>
    </row>
    <row r="110" spans="2:27">
      <c r="B110" s="9"/>
      <c r="C110" s="9"/>
      <c r="D110" s="9"/>
      <c r="E110" s="9"/>
      <c r="F110" s="9"/>
      <c r="G110" s="9"/>
      <c r="H110" s="9"/>
      <c r="I110" s="216" t="s">
        <v>76</v>
      </c>
      <c r="J110" s="9"/>
      <c r="K110" s="9"/>
      <c r="L110" s="9"/>
      <c r="M110" s="9"/>
      <c r="N110" s="838"/>
      <c r="O110" s="838"/>
      <c r="P110" s="786"/>
      <c r="Q110" s="786"/>
    </row>
    <row r="111" spans="2:27"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823" t="s">
        <v>527</v>
      </c>
      <c r="O111" s="837" t="s">
        <v>531</v>
      </c>
      <c r="P111" s="821" t="s">
        <v>531</v>
      </c>
      <c r="Q111" s="28"/>
      <c r="R111" s="9" t="s">
        <v>598</v>
      </c>
      <c r="W111" s="217"/>
      <c r="X111" s="217"/>
    </row>
    <row r="112" spans="2:27">
      <c r="X112" s="819"/>
    </row>
    <row r="113" spans="14:24">
      <c r="N113" s="845" t="s">
        <v>582</v>
      </c>
      <c r="O113" s="539"/>
      <c r="P113" s="540"/>
      <c r="Q113" s="541"/>
      <c r="X113" s="819"/>
    </row>
    <row r="114" spans="14:24">
      <c r="N114" s="542" t="s">
        <v>320</v>
      </c>
      <c r="O114" s="847"/>
      <c r="P114" s="543" t="s">
        <v>42</v>
      </c>
      <c r="Q114" s="544" t="s">
        <v>319</v>
      </c>
    </row>
    <row r="115" spans="14:24">
      <c r="N115" s="550" t="s">
        <v>609</v>
      </c>
      <c r="P115" s="535"/>
      <c r="Q115" s="535"/>
    </row>
    <row r="116" spans="14:24">
      <c r="N116" s="673" t="s">
        <v>610</v>
      </c>
      <c r="O116" s="846"/>
      <c r="P116" s="535">
        <v>10</v>
      </c>
      <c r="Q116" s="548" t="s">
        <v>611</v>
      </c>
      <c r="R116" s="365"/>
    </row>
    <row r="117" spans="14:24">
      <c r="N117" s="550"/>
      <c r="O117" s="846"/>
      <c r="P117" s="535"/>
      <c r="Q117" s="535"/>
    </row>
    <row r="118" spans="14:24">
      <c r="N118" s="673"/>
      <c r="O118" s="846"/>
      <c r="P118" s="535"/>
      <c r="Q118" s="535"/>
      <c r="R118" s="365"/>
    </row>
    <row r="123" spans="14:24">
      <c r="R123" s="365"/>
    </row>
    <row r="125" spans="14:24">
      <c r="R125" s="365"/>
    </row>
    <row r="126" spans="14:24">
      <c r="S126" s="217"/>
    </row>
    <row r="127" spans="14:24">
      <c r="R127" s="365"/>
      <c r="S127" s="217"/>
    </row>
    <row r="128" spans="14:24">
      <c r="R128" s="365"/>
    </row>
    <row r="130" spans="14:15">
      <c r="N130" s="365"/>
      <c r="O130" s="819"/>
    </row>
    <row r="131" spans="14:15">
      <c r="O131" s="819"/>
    </row>
  </sheetData>
  <phoneticPr fontId="24"/>
  <conditionalFormatting sqref="G48">
    <cfRule type="cellIs" dxfId="36" priority="19" operator="lessThan">
      <formula>0</formula>
    </cfRule>
    <cfRule type="cellIs" dxfId="35" priority="20" operator="lessThan">
      <formula>0</formula>
    </cfRule>
    <cfRule type="cellIs" dxfId="34" priority="21" operator="lessThan">
      <formula>0</formula>
    </cfRule>
  </conditionalFormatting>
  <conditionalFormatting sqref="G33">
    <cfRule type="cellIs" dxfId="33" priority="16" operator="lessThan">
      <formula>0</formula>
    </cfRule>
    <cfRule type="cellIs" dxfId="32" priority="17" operator="lessThan">
      <formula>0</formula>
    </cfRule>
    <cfRule type="cellIs" dxfId="31" priority="18" operator="lessThan">
      <formula>0</formula>
    </cfRule>
  </conditionalFormatting>
  <conditionalFormatting sqref="E17">
    <cfRule type="cellIs" dxfId="30" priority="13" operator="lessThan">
      <formula>0</formula>
    </cfRule>
    <cfRule type="cellIs" dxfId="29" priority="14" operator="lessThan">
      <formula>0</formula>
    </cfRule>
    <cfRule type="cellIs" dxfId="28" priority="15" operator="lessThan">
      <formula>0</formula>
    </cfRule>
  </conditionalFormatting>
  <conditionalFormatting sqref="E63">
    <cfRule type="cellIs" dxfId="27" priority="10" operator="lessThan">
      <formula>0</formula>
    </cfRule>
    <cfRule type="cellIs" dxfId="26" priority="11" operator="lessThan">
      <formula>0</formula>
    </cfRule>
    <cfRule type="cellIs" dxfId="25" priority="12" operator="lessThan">
      <formula>0</formula>
    </cfRule>
  </conditionalFormatting>
  <conditionalFormatting sqref="G108">
    <cfRule type="cellIs" dxfId="24" priority="1" operator="lessThan">
      <formula>0</formula>
    </cfRule>
    <cfRule type="cellIs" dxfId="23" priority="2" operator="lessThan">
      <formula>0</formula>
    </cfRule>
    <cfRule type="cellIs" dxfId="22" priority="3" operator="lessThan">
      <formula>0</formula>
    </cfRule>
  </conditionalFormatting>
  <conditionalFormatting sqref="E78">
    <cfRule type="cellIs" dxfId="21" priority="7" operator="lessThan">
      <formula>0</formula>
    </cfRule>
    <cfRule type="cellIs" dxfId="20" priority="8" operator="lessThan">
      <formula>0</formula>
    </cfRule>
    <cfRule type="cellIs" dxfId="19" priority="9" operator="lessThan">
      <formula>0</formula>
    </cfRule>
  </conditionalFormatting>
  <conditionalFormatting sqref="G93">
    <cfRule type="cellIs" dxfId="18" priority="4" operator="lessThan">
      <formula>0</formula>
    </cfRule>
    <cfRule type="cellIs" dxfId="17" priority="5" operator="lessThan">
      <formula>0</formula>
    </cfRule>
    <cfRule type="cellIs" dxfId="16" priority="6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55" pageOrder="overThenDown" orientation="portrait" r:id="rId1"/>
  <headerFooter>
    <oddHeader>&amp;L&amp;F&amp;A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V100"/>
  <sheetViews>
    <sheetView zoomScale="80" zoomScaleNormal="80" workbookViewId="0">
      <selection activeCell="X1" sqref="X1"/>
    </sheetView>
  </sheetViews>
  <sheetFormatPr defaultRowHeight="13.5"/>
  <cols>
    <col min="1" max="1" width="2.375" style="11" customWidth="1"/>
    <col min="2" max="2" width="4.375" style="11" customWidth="1"/>
    <col min="3" max="3" width="5.75" style="11" customWidth="1"/>
    <col min="4" max="4" width="15.125" style="11" customWidth="1"/>
    <col min="5" max="5" width="9.625" style="11" customWidth="1"/>
    <col min="6" max="6" width="3.625" style="11" customWidth="1"/>
    <col min="7" max="9" width="9.625" style="11" customWidth="1"/>
    <col min="10" max="10" width="3.625" style="11" customWidth="1"/>
    <col min="11" max="14" width="9.625" style="11" customWidth="1"/>
    <col min="15" max="15" width="3.625" style="11" customWidth="1"/>
    <col min="16" max="16" width="7.625" style="11" customWidth="1"/>
    <col min="17" max="17" width="3.125" style="11" customWidth="1"/>
    <col min="18" max="18" width="7.75" style="11" customWidth="1"/>
    <col min="19" max="19" width="3" style="11" customWidth="1"/>
    <col min="20" max="20" width="6.375" style="11" customWidth="1"/>
    <col min="21" max="21" width="2.75" style="11" customWidth="1"/>
    <col min="22" max="16384" width="9" style="11"/>
  </cols>
  <sheetData>
    <row r="1" spans="1:22" ht="9" customHeight="1"/>
    <row r="2" spans="1:22" s="32" customFormat="1" ht="18.75">
      <c r="B2" s="33" t="str">
        <f>BkTitle1</f>
        <v>SRIMfit_dbg</v>
      </c>
      <c r="F2" s="61" t="str">
        <f>BkTitle2</f>
        <v>AddInマクロ版 : セル内の式 = srFuncName()</v>
      </c>
    </row>
    <row r="3" spans="1:22" ht="9.75" customHeight="1"/>
    <row r="4" spans="1:22" ht="14.25">
      <c r="B4" s="210" t="s">
        <v>482</v>
      </c>
      <c r="G4" s="62" t="s">
        <v>37</v>
      </c>
      <c r="H4" s="9" t="s">
        <v>279</v>
      </c>
      <c r="K4" s="87" t="s">
        <v>44</v>
      </c>
      <c r="M4" s="8" t="s">
        <v>173</v>
      </c>
    </row>
    <row r="5" spans="1:22">
      <c r="B5" s="9"/>
      <c r="C5" s="9" t="s">
        <v>281</v>
      </c>
      <c r="D5" s="9"/>
      <c r="E5" s="9"/>
      <c r="F5" s="9"/>
      <c r="G5" s="364" t="s">
        <v>284</v>
      </c>
      <c r="H5" s="9" t="s">
        <v>280</v>
      </c>
      <c r="I5" s="9"/>
      <c r="J5" s="9"/>
      <c r="K5" s="62" t="s">
        <v>46</v>
      </c>
      <c r="M5" s="220" t="s">
        <v>266</v>
      </c>
      <c r="N5" s="235" t="s">
        <v>267</v>
      </c>
      <c r="Q5" s="9"/>
      <c r="R5" s="9"/>
      <c r="S5" s="9"/>
      <c r="T5" s="9"/>
      <c r="U5" s="9"/>
      <c r="V5" s="9"/>
    </row>
    <row r="6" spans="1:22">
      <c r="B6" s="9"/>
      <c r="C6" s="9" t="s">
        <v>282</v>
      </c>
      <c r="D6" s="9"/>
      <c r="E6" s="9"/>
      <c r="F6" s="9"/>
      <c r="G6" s="363" t="s">
        <v>283</v>
      </c>
      <c r="H6" s="9" t="s">
        <v>285</v>
      </c>
      <c r="I6" s="9"/>
      <c r="J6" s="9"/>
      <c r="K6" s="178" t="s">
        <v>50</v>
      </c>
      <c r="L6" s="9"/>
      <c r="M6" s="241" t="s">
        <v>165</v>
      </c>
      <c r="N6" s="242" t="s">
        <v>166</v>
      </c>
      <c r="O6" s="9"/>
      <c r="Q6" s="9"/>
      <c r="R6" s="9"/>
      <c r="S6" s="9"/>
      <c r="T6" s="9"/>
      <c r="U6" s="9"/>
      <c r="V6" s="9"/>
    </row>
    <row r="7" spans="1:22">
      <c r="B7" s="9" t="s">
        <v>40</v>
      </c>
      <c r="C7" s="9"/>
      <c r="D7" s="9"/>
      <c r="E7" s="9"/>
      <c r="F7" s="9"/>
      <c r="G7" s="9"/>
      <c r="H7" s="9"/>
      <c r="I7" s="9"/>
      <c r="J7" s="9"/>
      <c r="K7" s="181" t="s">
        <v>51</v>
      </c>
      <c r="L7" s="90" t="s">
        <v>264</v>
      </c>
      <c r="M7" s="237">
        <f>[1]!srInfoTrgPtbl(D17)</f>
        <v>101325</v>
      </c>
      <c r="N7" s="238">
        <f>[1]!srInfoTrgTtbl(D17)</f>
        <v>20</v>
      </c>
      <c r="Q7" s="9"/>
      <c r="R7" s="9"/>
      <c r="S7" s="9"/>
      <c r="T7" s="9"/>
      <c r="U7" s="9"/>
      <c r="V7" s="9"/>
    </row>
    <row r="8" spans="1:22">
      <c r="B8" s="9"/>
      <c r="C8" s="9"/>
      <c r="D8" s="9"/>
      <c r="E8" s="9"/>
      <c r="F8" s="9"/>
      <c r="G8" s="9"/>
      <c r="H8" s="9"/>
      <c r="I8" s="9"/>
      <c r="J8" s="9"/>
      <c r="K8" s="183" t="s">
        <v>54</v>
      </c>
      <c r="M8" s="239">
        <f>[1]!srThkStd(D17,M7,N7)</f>
        <v>1</v>
      </c>
      <c r="N8" s="240" t="s">
        <v>163</v>
      </c>
      <c r="O8" s="9"/>
      <c r="Q8" s="9"/>
      <c r="R8" s="9"/>
      <c r="S8" s="9"/>
      <c r="T8" s="9"/>
      <c r="U8" s="9"/>
      <c r="V8" s="9"/>
    </row>
    <row r="9" spans="1:22">
      <c r="B9" s="9"/>
      <c r="F9" s="169"/>
      <c r="G9" s="169"/>
      <c r="H9" s="169"/>
      <c r="I9" s="169"/>
      <c r="J9" s="169"/>
      <c r="K9" s="214" t="s">
        <v>57</v>
      </c>
      <c r="L9" s="90" t="s">
        <v>265</v>
      </c>
      <c r="M9" s="237">
        <f>[1]!srInfoTrgPtbl(D22)</f>
        <v>101325</v>
      </c>
      <c r="N9" s="238">
        <f>[1]!srInfoTrgTtbl(D22)</f>
        <v>20</v>
      </c>
      <c r="O9" s="9"/>
      <c r="Q9" s="9"/>
      <c r="R9" s="9"/>
      <c r="S9" s="9"/>
      <c r="T9" s="9"/>
      <c r="U9" s="9"/>
      <c r="V9" s="9"/>
    </row>
    <row r="10" spans="1:22" ht="14.25">
      <c r="A10" s="9"/>
      <c r="B10" s="9"/>
      <c r="C10" s="336"/>
      <c r="D10" s="334" t="s">
        <v>261</v>
      </c>
      <c r="E10" s="88" t="s">
        <v>61</v>
      </c>
      <c r="F10" s="9"/>
      <c r="G10" s="169"/>
      <c r="H10" s="169"/>
      <c r="I10" s="169"/>
      <c r="J10" s="169"/>
      <c r="K10" s="169"/>
      <c r="M10" s="239">
        <f>[1]!srThkStd(D22,M9,N9)</f>
        <v>1</v>
      </c>
      <c r="N10" s="240"/>
      <c r="O10" s="9"/>
      <c r="P10" s="9"/>
      <c r="Q10" s="9"/>
      <c r="R10" s="9"/>
      <c r="S10" s="9"/>
      <c r="T10" s="9"/>
      <c r="U10" s="9"/>
      <c r="V10" s="9"/>
    </row>
    <row r="11" spans="1:22" ht="14.25" thickBot="1">
      <c r="A11" s="9"/>
      <c r="B11" s="9"/>
      <c r="C11" s="9"/>
      <c r="D11" s="170"/>
      <c r="E11" s="169" t="s">
        <v>62</v>
      </c>
      <c r="F11" s="9"/>
      <c r="G11" s="169"/>
      <c r="H11" s="169"/>
      <c r="I11" s="169"/>
      <c r="J11" s="169"/>
      <c r="K11" s="169"/>
      <c r="L11" s="169"/>
      <c r="M11" s="9"/>
      <c r="N11" s="151" t="s">
        <v>299</v>
      </c>
      <c r="O11" s="9"/>
      <c r="P11" s="9"/>
      <c r="Q11" s="9"/>
      <c r="R11" s="9"/>
      <c r="S11" s="9"/>
      <c r="T11" s="9"/>
      <c r="U11" s="9"/>
      <c r="V11" s="9"/>
    </row>
    <row r="12" spans="1:22" s="9" customFormat="1" ht="12">
      <c r="C12" s="399"/>
      <c r="D12" s="400" t="s">
        <v>297</v>
      </c>
      <c r="E12" s="379" t="s">
        <v>292</v>
      </c>
      <c r="F12" s="378"/>
      <c r="G12" s="380" t="s">
        <v>298</v>
      </c>
      <c r="H12" s="401"/>
      <c r="I12" s="402"/>
      <c r="J12" s="402"/>
      <c r="K12" s="400"/>
      <c r="L12" s="400"/>
      <c r="M12" s="410" t="s">
        <v>295</v>
      </c>
      <c r="N12" s="479" t="s">
        <v>300</v>
      </c>
    </row>
    <row r="13" spans="1:22" s="9" customFormat="1" ht="12">
      <c r="C13" s="388"/>
      <c r="D13" s="366">
        <f>[1]!srMaxLETt(D17,3)</f>
        <v>9.3884401440000005</v>
      </c>
      <c r="E13" s="459">
        <f>[1]!srMaxLETt2E(D17)</f>
        <v>3.4090909090909092</v>
      </c>
      <c r="F13" s="461"/>
      <c r="G13" s="463">
        <f>[1]!srE2Rng(D17,E17)/1000</f>
        <v>27.312000000000001</v>
      </c>
      <c r="H13" s="236"/>
      <c r="I13" s="169"/>
      <c r="J13" s="169"/>
      <c r="K13" s="88"/>
      <c r="L13" s="88"/>
      <c r="M13" s="464">
        <f>N13/F14</f>
        <v>1.8492382101818183</v>
      </c>
      <c r="N13" s="428">
        <f>D13*G17</f>
        <v>244.09944374400001</v>
      </c>
    </row>
    <row r="14" spans="1:22">
      <c r="A14" s="9"/>
      <c r="B14" s="9"/>
      <c r="C14" s="386"/>
      <c r="D14" s="112"/>
      <c r="E14" s="171" t="str">
        <f>[1]!srElmNm([1]!srInfoIonZ(D17))&amp;"-"</f>
        <v>Xe-</v>
      </c>
      <c r="F14" s="172">
        <f>[1]!srInfoIonA(D17)</f>
        <v>132</v>
      </c>
      <c r="G14" s="186" t="str">
        <f>[1]!srInfoTrgName(D17)</f>
        <v>Air</v>
      </c>
      <c r="H14" s="359" t="s">
        <v>161</v>
      </c>
      <c r="I14" s="233" t="b">
        <f>[1]!srInfoTgIsGas(D17)</f>
        <v>1</v>
      </c>
      <c r="J14" s="187"/>
      <c r="K14" s="362" t="str">
        <f>IF((K17&lt;=0),"Eu11&lt;0","")</f>
        <v/>
      </c>
      <c r="L14" s="188"/>
      <c r="M14" s="128"/>
      <c r="N14" s="387"/>
      <c r="O14" s="9"/>
      <c r="P14" s="9"/>
      <c r="Q14" s="9"/>
      <c r="S14" s="9"/>
      <c r="T14" s="9"/>
      <c r="U14" s="9"/>
      <c r="V14" s="9"/>
    </row>
    <row r="15" spans="1:22">
      <c r="A15" s="9"/>
      <c r="B15" s="9"/>
      <c r="C15" s="388"/>
      <c r="D15" s="360" t="s">
        <v>277</v>
      </c>
      <c r="E15" s="87" t="s">
        <v>42</v>
      </c>
      <c r="F15" s="169"/>
      <c r="G15" s="189" t="s">
        <v>63</v>
      </c>
      <c r="H15" s="189" t="s">
        <v>97</v>
      </c>
      <c r="I15" s="189" t="s">
        <v>98</v>
      </c>
      <c r="J15" s="169"/>
      <c r="K15" s="190" t="s">
        <v>64</v>
      </c>
      <c r="L15" s="190" t="s">
        <v>65</v>
      </c>
      <c r="M15" s="91" t="s">
        <v>66</v>
      </c>
      <c r="N15" s="404" t="s">
        <v>67</v>
      </c>
      <c r="O15" s="9"/>
      <c r="P15" s="9"/>
      <c r="Q15" s="9"/>
      <c r="S15" s="9"/>
      <c r="T15" s="9"/>
      <c r="U15" s="9"/>
      <c r="V15" s="9"/>
    </row>
    <row r="16" spans="1:22">
      <c r="A16" s="9"/>
      <c r="B16" s="9"/>
      <c r="C16" s="388"/>
      <c r="D16" s="356">
        <f>E17*F14</f>
        <v>132</v>
      </c>
      <c r="E16" s="87" t="s">
        <v>0</v>
      </c>
      <c r="F16" s="169"/>
      <c r="G16" s="358" t="s">
        <v>100</v>
      </c>
      <c r="H16" s="189" t="s">
        <v>101</v>
      </c>
      <c r="I16" s="189" t="s">
        <v>102</v>
      </c>
      <c r="J16" s="169"/>
      <c r="K16" s="190" t="s">
        <v>0</v>
      </c>
      <c r="L16" s="190" t="s">
        <v>68</v>
      </c>
      <c r="M16" s="91" t="s">
        <v>0</v>
      </c>
      <c r="N16" s="404" t="s">
        <v>68</v>
      </c>
      <c r="O16" s="9"/>
      <c r="P16" s="9"/>
      <c r="Q16" s="9"/>
      <c r="S16" s="9"/>
      <c r="T16" s="9"/>
      <c r="U16" s="9"/>
      <c r="V16" s="9"/>
    </row>
    <row r="17" spans="1:22" ht="14.25" thickBot="1">
      <c r="A17" s="9"/>
      <c r="B17" s="9"/>
      <c r="C17" s="390" t="s">
        <v>47</v>
      </c>
      <c r="D17" s="391" t="s">
        <v>105</v>
      </c>
      <c r="E17" s="471">
        <v>1</v>
      </c>
      <c r="F17" s="393" t="s">
        <v>49</v>
      </c>
      <c r="G17" s="406">
        <v>26</v>
      </c>
      <c r="H17" s="406">
        <v>101325</v>
      </c>
      <c r="I17" s="406">
        <v>20</v>
      </c>
      <c r="J17" s="393" t="s">
        <v>49</v>
      </c>
      <c r="K17" s="407">
        <f>[1]!srEnewGas(D17,E17,G17,H17,I17)</f>
        <v>1.4523809523809524E-2</v>
      </c>
      <c r="L17" s="408">
        <f>K17*F14</f>
        <v>1.9171428571428573</v>
      </c>
      <c r="M17" s="397">
        <f>E17-K17</f>
        <v>0.98547619047619051</v>
      </c>
      <c r="N17" s="398">
        <f>M17*F14</f>
        <v>130.08285714285714</v>
      </c>
      <c r="O17" s="9"/>
      <c r="P17" s="9"/>
      <c r="Q17" s="9"/>
      <c r="S17" s="9"/>
      <c r="T17" s="9"/>
      <c r="U17" s="9"/>
      <c r="V17" s="9"/>
    </row>
    <row r="18" spans="1:22" s="70" customFormat="1">
      <c r="B18" s="217"/>
      <c r="C18" s="469"/>
      <c r="D18" s="461" t="s">
        <v>294</v>
      </c>
      <c r="E18" s="460" t="s">
        <v>303</v>
      </c>
      <c r="F18" s="461"/>
      <c r="G18" s="462" t="s">
        <v>304</v>
      </c>
      <c r="H18" s="203"/>
      <c r="I18" s="465"/>
      <c r="J18" s="207"/>
      <c r="K18" s="466"/>
      <c r="L18" s="466"/>
      <c r="M18" s="480" t="s">
        <v>301</v>
      </c>
      <c r="N18" s="481" t="s">
        <v>302</v>
      </c>
      <c r="R18" s="217"/>
      <c r="S18" s="217"/>
      <c r="T18" s="217"/>
      <c r="U18" s="217"/>
    </row>
    <row r="19" spans="1:22" s="70" customFormat="1">
      <c r="B19" s="217"/>
      <c r="C19" s="469"/>
      <c r="D19" s="366">
        <f>[1]!srMaxLETt(D22,3)</f>
        <v>3.0286599744</v>
      </c>
      <c r="E19" s="459">
        <f>[1]!srMaxLETt2E(D22)</f>
        <v>0.6875</v>
      </c>
      <c r="F19" s="461"/>
      <c r="G19" s="463">
        <f>[1]!srE2Rng(D22,E22)/1000</f>
        <v>18.989999999999998</v>
      </c>
      <c r="H19" s="203"/>
      <c r="I19" s="467"/>
      <c r="J19" s="207"/>
      <c r="K19" s="36"/>
      <c r="L19" s="36"/>
      <c r="M19" s="468">
        <f>N19/F20</f>
        <v>1.3571641678141713</v>
      </c>
      <c r="N19" s="470">
        <f>D19*G22</f>
        <v>54.286566712566852</v>
      </c>
      <c r="O19" s="217"/>
      <c r="P19" s="217"/>
      <c r="Q19" s="217"/>
      <c r="R19" s="217"/>
      <c r="S19" s="217"/>
      <c r="T19" s="217"/>
      <c r="U19" s="217"/>
    </row>
    <row r="20" spans="1:22">
      <c r="A20" s="9"/>
      <c r="B20" s="9"/>
      <c r="C20" s="386"/>
      <c r="D20" s="361" t="s">
        <v>278</v>
      </c>
      <c r="E20" s="171" t="str">
        <f>[1]!srElmNm([1]!srInfoIonZ(D22))&amp;"-"</f>
        <v>Ar-</v>
      </c>
      <c r="F20" s="172">
        <f>[1]!srInfoIonA(D22)</f>
        <v>40</v>
      </c>
      <c r="G20" s="186" t="str">
        <f>[1]!srInfoTrgName(D22)</f>
        <v>Air</v>
      </c>
      <c r="H20" s="359" t="s">
        <v>161</v>
      </c>
      <c r="I20" s="233" t="b">
        <f>[1]!srInfoTgIsGas(D22)</f>
        <v>1</v>
      </c>
      <c r="J20" s="187"/>
      <c r="K20" s="188"/>
      <c r="L20" s="194"/>
      <c r="M20" s="128"/>
      <c r="N20" s="387"/>
      <c r="O20" s="9"/>
      <c r="P20" s="9"/>
      <c r="Q20" s="9"/>
      <c r="S20" s="9"/>
      <c r="T20" s="9"/>
      <c r="U20" s="9"/>
      <c r="V20" s="9"/>
    </row>
    <row r="21" spans="1:22">
      <c r="A21" s="9"/>
      <c r="B21" s="9"/>
      <c r="C21" s="388"/>
      <c r="D21" s="356">
        <f>E22*F20</f>
        <v>40</v>
      </c>
      <c r="E21" s="178" t="s">
        <v>69</v>
      </c>
      <c r="F21" s="169"/>
      <c r="G21" s="183" t="s">
        <v>70</v>
      </c>
      <c r="H21" s="189" t="s">
        <v>103</v>
      </c>
      <c r="I21" s="189" t="s">
        <v>104</v>
      </c>
      <c r="J21" s="169"/>
      <c r="K21" s="195" t="s">
        <v>71</v>
      </c>
      <c r="L21" s="196" t="s">
        <v>72</v>
      </c>
      <c r="M21" s="197" t="s">
        <v>73</v>
      </c>
      <c r="N21" s="389" t="s">
        <v>74</v>
      </c>
      <c r="O21" s="9"/>
      <c r="P21" s="9"/>
      <c r="Q21" s="9"/>
      <c r="S21" s="9"/>
      <c r="T21" s="9"/>
      <c r="U21" s="9"/>
      <c r="V21" s="9"/>
    </row>
    <row r="22" spans="1:22" ht="14.25" thickBot="1">
      <c r="A22" s="9"/>
      <c r="B22" s="9"/>
      <c r="C22" s="390" t="s">
        <v>55</v>
      </c>
      <c r="D22" s="391" t="s">
        <v>95</v>
      </c>
      <c r="E22" s="413">
        <f>E17</f>
        <v>1</v>
      </c>
      <c r="F22" s="393" t="s">
        <v>49</v>
      </c>
      <c r="G22" s="394">
        <f>[1]!srEnew_eq_ThGas(D17,D22,E17,G17,H17,I17,H22,I22)</f>
        <v>17.924285714285713</v>
      </c>
      <c r="H22" s="406">
        <v>101325</v>
      </c>
      <c r="I22" s="406">
        <v>20</v>
      </c>
      <c r="J22" s="393" t="s">
        <v>49</v>
      </c>
      <c r="K22" s="395">
        <f>[1]!srEnewGas(D22,E22,G22,H22,I22)</f>
        <v>1.4523809523809531E-2</v>
      </c>
      <c r="L22" s="396">
        <f>K22*F20</f>
        <v>0.58095238095238122</v>
      </c>
      <c r="M22" s="397">
        <f>E22-K22</f>
        <v>0.98547619047619051</v>
      </c>
      <c r="N22" s="398">
        <f>M22*F20</f>
        <v>39.419047619047618</v>
      </c>
      <c r="O22" s="9"/>
      <c r="P22" s="9"/>
      <c r="Q22" s="9"/>
      <c r="R22" s="9"/>
      <c r="S22" s="9"/>
      <c r="T22" s="9"/>
      <c r="U22" s="9"/>
      <c r="V22" s="9"/>
    </row>
    <row r="23" spans="1:22">
      <c r="A23" s="9"/>
      <c r="B23" s="9"/>
      <c r="C23" s="9"/>
      <c r="D23" s="9"/>
      <c r="E23" s="9"/>
      <c r="F23" s="9"/>
      <c r="G23" s="211" t="s">
        <v>260</v>
      </c>
      <c r="H23" s="211"/>
      <c r="I23" s="211"/>
      <c r="J23" s="9"/>
      <c r="K23" s="839">
        <f>K22</f>
        <v>1.4523809523809531E-2</v>
      </c>
      <c r="L23" s="184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>
      <c r="A24" s="9"/>
      <c r="B24" s="9"/>
      <c r="C24" s="9"/>
      <c r="D24" s="9"/>
      <c r="E24" s="9"/>
      <c r="F24" s="9"/>
      <c r="G24" s="9"/>
      <c r="H24" s="9"/>
      <c r="I24" s="9"/>
      <c r="J24" s="9"/>
      <c r="K24" s="216" t="s">
        <v>106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ht="14.25">
      <c r="B25" s="9"/>
      <c r="C25" s="336"/>
      <c r="D25" s="334" t="s">
        <v>262</v>
      </c>
      <c r="E25" s="88"/>
      <c r="F25" s="169"/>
      <c r="G25" s="169"/>
      <c r="H25" s="169"/>
      <c r="I25" s="169"/>
      <c r="J25" s="169"/>
      <c r="K25" s="169"/>
      <c r="L25" s="16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ht="14.25" thickBot="1">
      <c r="B26" s="9"/>
      <c r="C26" s="9"/>
      <c r="D26" s="170"/>
      <c r="E26" s="169"/>
      <c r="F26" s="9"/>
      <c r="G26" s="169"/>
      <c r="H26" s="169"/>
      <c r="I26" s="169"/>
      <c r="J26" s="169"/>
      <c r="K26" s="169"/>
      <c r="L26" s="16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s="9" customFormat="1" ht="12">
      <c r="C27" s="399"/>
      <c r="D27" s="400" t="s">
        <v>297</v>
      </c>
      <c r="E27" s="379" t="s">
        <v>292</v>
      </c>
      <c r="F27" s="378"/>
      <c r="G27" s="380" t="s">
        <v>298</v>
      </c>
      <c r="H27" s="401"/>
      <c r="I27" s="402"/>
      <c r="J27" s="402"/>
      <c r="K27" s="400"/>
      <c r="L27" s="400"/>
      <c r="M27" s="410" t="s">
        <v>295</v>
      </c>
      <c r="N27" s="479" t="s">
        <v>300</v>
      </c>
    </row>
    <row r="28" spans="1:22" s="9" customFormat="1" ht="12">
      <c r="C28" s="388"/>
      <c r="D28" s="366">
        <f>[1]!srMaxLETt(D32,3)</f>
        <v>9.3884401440000005</v>
      </c>
      <c r="E28" s="459">
        <f>[1]!srMaxLETt2E(D32)</f>
        <v>3.4090909090909092</v>
      </c>
      <c r="F28" s="461"/>
      <c r="G28" s="463">
        <f>[1]!srE2Rng(D32,E32)/1000</f>
        <v>27.312000000000001</v>
      </c>
      <c r="H28" s="236"/>
      <c r="I28" s="169"/>
      <c r="J28" s="169"/>
      <c r="K28" s="88"/>
      <c r="L28" s="88"/>
      <c r="M28" s="464">
        <f>N28/F29</f>
        <v>1.8492382101818183</v>
      </c>
      <c r="N28" s="428">
        <f>D28*G32</f>
        <v>244.09944374400001</v>
      </c>
    </row>
    <row r="29" spans="1:22">
      <c r="A29" s="9"/>
      <c r="B29" s="9"/>
      <c r="C29" s="386"/>
      <c r="D29" s="112"/>
      <c r="E29" s="171" t="str">
        <f>[1]!srElmNm([1]!srInfoIonZ(D32))&amp;"-"</f>
        <v>Xe-</v>
      </c>
      <c r="F29" s="172">
        <f>[1]!srInfoIonA(D32)</f>
        <v>132</v>
      </c>
      <c r="G29" s="186" t="str">
        <f>[1]!srInfoTrgName(D32)</f>
        <v>Air</v>
      </c>
      <c r="H29" s="359" t="s">
        <v>161</v>
      </c>
      <c r="I29" s="233" t="b">
        <f>[1]!srInfoTgIsGas(D32)</f>
        <v>1</v>
      </c>
      <c r="J29" s="187"/>
      <c r="K29" s="362" t="str">
        <f>IF((K32&lt;=0),"Eu11&lt;0","")</f>
        <v/>
      </c>
      <c r="L29" s="362" t="str">
        <f>IF((L32&gt;D36),"Et11&gt;Et20","")</f>
        <v/>
      </c>
      <c r="M29" s="128"/>
      <c r="N29" s="387"/>
      <c r="O29" s="9"/>
      <c r="P29" s="9"/>
      <c r="Q29" s="9"/>
      <c r="R29" s="9"/>
      <c r="S29" s="9"/>
      <c r="T29" s="9"/>
      <c r="U29" s="9"/>
      <c r="V29" s="9"/>
    </row>
    <row r="30" spans="1:22">
      <c r="A30" s="9"/>
      <c r="B30" s="9"/>
      <c r="C30" s="388"/>
      <c r="D30" s="360" t="s">
        <v>277</v>
      </c>
      <c r="E30" s="87" t="s">
        <v>42</v>
      </c>
      <c r="F30" s="169"/>
      <c r="G30" s="189" t="s">
        <v>63</v>
      </c>
      <c r="H30" s="189" t="s">
        <v>97</v>
      </c>
      <c r="I30" s="189" t="s">
        <v>98</v>
      </c>
      <c r="J30" s="169"/>
      <c r="K30" s="190" t="s">
        <v>64</v>
      </c>
      <c r="L30" s="190" t="s">
        <v>65</v>
      </c>
      <c r="M30" s="91" t="s">
        <v>66</v>
      </c>
      <c r="N30" s="404" t="s">
        <v>67</v>
      </c>
      <c r="O30" s="9"/>
      <c r="P30" s="9"/>
      <c r="Q30" s="9"/>
      <c r="R30" s="9"/>
      <c r="S30" s="9"/>
      <c r="T30" s="9"/>
      <c r="U30" s="9"/>
      <c r="V30" s="9"/>
    </row>
    <row r="31" spans="1:22">
      <c r="A31" s="9"/>
      <c r="B31" s="9"/>
      <c r="C31" s="388"/>
      <c r="D31" s="356">
        <f>E32*F29</f>
        <v>132</v>
      </c>
      <c r="E31" s="87" t="s">
        <v>0</v>
      </c>
      <c r="F31" s="169"/>
      <c r="G31" s="358" t="s">
        <v>100</v>
      </c>
      <c r="H31" s="189" t="s">
        <v>101</v>
      </c>
      <c r="I31" s="189" t="s">
        <v>102</v>
      </c>
      <c r="J31" s="169"/>
      <c r="K31" s="190" t="s">
        <v>0</v>
      </c>
      <c r="L31" s="190" t="s">
        <v>68</v>
      </c>
      <c r="M31" s="91" t="s">
        <v>0</v>
      </c>
      <c r="N31" s="404" t="s">
        <v>68</v>
      </c>
      <c r="O31" s="9"/>
      <c r="P31" s="9"/>
      <c r="Q31" s="9"/>
      <c r="R31" s="9"/>
      <c r="S31" s="9"/>
      <c r="T31" s="9"/>
      <c r="U31" s="9"/>
      <c r="V31" s="9"/>
    </row>
    <row r="32" spans="1:22" ht="14.25" thickBot="1">
      <c r="A32" s="9"/>
      <c r="B32" s="9"/>
      <c r="C32" s="390" t="s">
        <v>47</v>
      </c>
      <c r="D32" s="391" t="str">
        <f>D17</f>
        <v>srim132Xe_Air</v>
      </c>
      <c r="E32" s="471">
        <f>E$17</f>
        <v>1</v>
      </c>
      <c r="F32" s="393" t="s">
        <v>49</v>
      </c>
      <c r="G32" s="406">
        <f>G$17</f>
        <v>26</v>
      </c>
      <c r="H32" s="406">
        <f>H$17</f>
        <v>101325</v>
      </c>
      <c r="I32" s="406">
        <f>I$17</f>
        <v>20</v>
      </c>
      <c r="J32" s="393" t="s">
        <v>49</v>
      </c>
      <c r="K32" s="407">
        <f>[1]!srEnewGas(D32,E32,G32,H32,I32)</f>
        <v>1.4523809523809524E-2</v>
      </c>
      <c r="L32" s="408">
        <f>K32*F29</f>
        <v>1.9171428571428573</v>
      </c>
      <c r="M32" s="397">
        <f>E32-K32</f>
        <v>0.98547619047619051</v>
      </c>
      <c r="N32" s="398">
        <f>M32*F29</f>
        <v>130.08285714285714</v>
      </c>
      <c r="O32" s="9"/>
      <c r="P32" s="9"/>
      <c r="Q32" s="9"/>
      <c r="R32" s="9"/>
      <c r="S32" s="9"/>
      <c r="T32" s="9"/>
      <c r="U32" s="9"/>
      <c r="V32" s="9"/>
    </row>
    <row r="33" spans="1:22" s="70" customFormat="1">
      <c r="B33" s="217"/>
      <c r="C33" s="469"/>
      <c r="D33" s="461" t="s">
        <v>294</v>
      </c>
      <c r="E33" s="460" t="s">
        <v>303</v>
      </c>
      <c r="F33" s="461"/>
      <c r="G33" s="462" t="s">
        <v>304</v>
      </c>
      <c r="H33" s="203"/>
      <c r="I33" s="465"/>
      <c r="J33" s="207"/>
      <c r="K33" s="466"/>
      <c r="L33" s="466"/>
      <c r="M33" s="480" t="s">
        <v>301</v>
      </c>
      <c r="N33" s="481" t="s">
        <v>302</v>
      </c>
      <c r="R33" s="217"/>
      <c r="S33" s="217"/>
      <c r="T33" s="217"/>
      <c r="U33" s="217"/>
    </row>
    <row r="34" spans="1:22" s="70" customFormat="1">
      <c r="B34" s="217"/>
      <c r="C34" s="469"/>
      <c r="D34" s="366">
        <f>[1]!srMaxLETt(D37,3)</f>
        <v>3.0286599744</v>
      </c>
      <c r="E34" s="459">
        <f>[1]!srMaxLETt2E(D37)</f>
        <v>0.6875</v>
      </c>
      <c r="F34" s="461"/>
      <c r="G34" s="463">
        <f>[1]!srE2Rng(D37,E37)/1000</f>
        <v>18.989999999999998</v>
      </c>
      <c r="H34" s="203"/>
      <c r="I34" s="467"/>
      <c r="J34" s="207"/>
      <c r="K34" s="36"/>
      <c r="L34" s="36"/>
      <c r="M34" s="468">
        <f>N34/F35</f>
        <v>1.2082622635013487</v>
      </c>
      <c r="N34" s="470">
        <f>D34*G37</f>
        <v>48.330490540053944</v>
      </c>
      <c r="O34" s="217"/>
      <c r="P34" s="217"/>
      <c r="Q34" s="217"/>
      <c r="R34" s="217"/>
      <c r="S34" s="217"/>
      <c r="T34" s="217"/>
      <c r="U34" s="217"/>
    </row>
    <row r="35" spans="1:22">
      <c r="A35" s="9"/>
      <c r="B35" s="9"/>
      <c r="C35" s="386"/>
      <c r="D35" s="361" t="s">
        <v>278</v>
      </c>
      <c r="E35" s="367" t="str">
        <f>[1]!srElmNm([1]!srInfoIonZ(D37))&amp;"-"</f>
        <v>Ar-</v>
      </c>
      <c r="F35" s="172">
        <f>[1]!srInfoIonA(D37)</f>
        <v>40</v>
      </c>
      <c r="G35" s="186" t="str">
        <f>[1]!srInfoTrgName(D37)</f>
        <v>Air</v>
      </c>
      <c r="H35" s="359" t="s">
        <v>161</v>
      </c>
      <c r="I35" s="233" t="b">
        <f>[1]!srInfoTgIsGas(D37)</f>
        <v>1</v>
      </c>
      <c r="J35" s="187"/>
      <c r="K35" s="188"/>
      <c r="L35" s="194"/>
      <c r="M35" s="128"/>
      <c r="N35" s="387"/>
      <c r="O35" s="9"/>
      <c r="P35" s="9"/>
      <c r="Q35" s="9"/>
      <c r="R35" s="9"/>
      <c r="S35" s="9"/>
      <c r="T35" s="9"/>
      <c r="U35" s="9"/>
      <c r="V35" s="9"/>
    </row>
    <row r="36" spans="1:22">
      <c r="A36" s="9"/>
      <c r="B36" s="9"/>
      <c r="C36" s="388"/>
      <c r="D36" s="356">
        <f>E37*F35</f>
        <v>40</v>
      </c>
      <c r="E36" s="369" t="s">
        <v>69</v>
      </c>
      <c r="F36" s="169"/>
      <c r="G36" s="183" t="s">
        <v>70</v>
      </c>
      <c r="H36" s="189" t="s">
        <v>103</v>
      </c>
      <c r="I36" s="189" t="s">
        <v>104</v>
      </c>
      <c r="J36" s="169"/>
      <c r="K36" s="196" t="s">
        <v>77</v>
      </c>
      <c r="L36" s="198" t="s">
        <v>78</v>
      </c>
      <c r="M36" s="197" t="s">
        <v>79</v>
      </c>
      <c r="N36" s="389" t="s">
        <v>74</v>
      </c>
      <c r="O36" s="9"/>
      <c r="P36" s="9"/>
      <c r="Q36" s="9"/>
      <c r="R36" s="9"/>
      <c r="S36" s="9"/>
      <c r="T36" s="9"/>
      <c r="U36" s="9"/>
      <c r="V36" s="9"/>
    </row>
    <row r="37" spans="1:22" ht="14.25" thickBot="1">
      <c r="A37" s="9"/>
      <c r="B37" s="9"/>
      <c r="C37" s="390" t="s">
        <v>55</v>
      </c>
      <c r="D37" s="391" t="str">
        <f>D22</f>
        <v>srim40Ar_Air</v>
      </c>
      <c r="E37" s="392">
        <f>E32</f>
        <v>1</v>
      </c>
      <c r="F37" s="393" t="s">
        <v>49</v>
      </c>
      <c r="G37" s="394">
        <f>[1]!srEnewt_eq_ThGas(D32,D37,E32,G32,H32,I32,H37,I37)</f>
        <v>15.957714285714285</v>
      </c>
      <c r="H37" s="406">
        <f>H$22</f>
        <v>101325</v>
      </c>
      <c r="I37" s="406">
        <f>I$22</f>
        <v>20</v>
      </c>
      <c r="J37" s="393" t="s">
        <v>49</v>
      </c>
      <c r="K37" s="407">
        <f>[1]!srEnewGas(D37,E37,G37,H37,I37)</f>
        <v>4.7928571428571452E-2</v>
      </c>
      <c r="L37" s="414">
        <f>K37*F35</f>
        <v>1.9171428571428581</v>
      </c>
      <c r="M37" s="397">
        <f>E37-K37</f>
        <v>0.95207142857142857</v>
      </c>
      <c r="N37" s="398">
        <f>M37*F35</f>
        <v>38.082857142857144</v>
      </c>
      <c r="O37" s="9"/>
      <c r="P37" s="9"/>
      <c r="Q37" s="9"/>
      <c r="R37" s="9"/>
      <c r="S37" s="9"/>
      <c r="T37" s="9"/>
      <c r="U37" s="9"/>
      <c r="V37" s="9"/>
    </row>
    <row r="38" spans="1:22">
      <c r="A38" s="9"/>
      <c r="B38" s="9"/>
      <c r="C38" s="9"/>
      <c r="D38" s="9"/>
      <c r="E38" s="9"/>
      <c r="F38" s="9"/>
      <c r="G38" s="211" t="s">
        <v>268</v>
      </c>
      <c r="H38" s="211"/>
      <c r="I38" s="211"/>
      <c r="J38" s="9"/>
      <c r="L38" s="839">
        <f>L37</f>
        <v>1.9171428571428581</v>
      </c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>
      <c r="B39" s="9"/>
      <c r="C39" s="9"/>
      <c r="D39" s="9"/>
      <c r="E39" s="9"/>
      <c r="F39" s="9"/>
      <c r="G39" s="9"/>
      <c r="H39" s="9"/>
      <c r="I39" s="9"/>
      <c r="J39" s="9"/>
      <c r="K39" s="216" t="s">
        <v>106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ht="14.25">
      <c r="B40" s="9"/>
      <c r="C40" s="336"/>
      <c r="D40" s="334" t="s">
        <v>263</v>
      </c>
      <c r="E40" s="88"/>
      <c r="F40" s="169"/>
      <c r="G40" s="169"/>
      <c r="H40" s="169"/>
      <c r="I40" s="169"/>
      <c r="J40" s="169"/>
      <c r="K40" s="169"/>
      <c r="L40" s="16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 ht="14.25" thickBot="1">
      <c r="B41" s="9"/>
      <c r="C41" s="9"/>
      <c r="D41" s="170"/>
      <c r="E41" s="169"/>
      <c r="F41" s="9"/>
      <c r="G41" s="169"/>
      <c r="H41" s="169"/>
      <c r="I41" s="169"/>
      <c r="J41" s="169"/>
      <c r="K41" s="169"/>
      <c r="L41" s="16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 s="9" customFormat="1" ht="12">
      <c r="C42" s="399"/>
      <c r="D42" s="400" t="s">
        <v>297</v>
      </c>
      <c r="E42" s="379" t="s">
        <v>292</v>
      </c>
      <c r="F42" s="378"/>
      <c r="G42" s="380" t="s">
        <v>298</v>
      </c>
      <c r="H42" s="401"/>
      <c r="I42" s="402"/>
      <c r="J42" s="402"/>
      <c r="K42" s="400"/>
      <c r="L42" s="400"/>
      <c r="M42" s="410" t="s">
        <v>295</v>
      </c>
      <c r="N42" s="479" t="s">
        <v>300</v>
      </c>
    </row>
    <row r="43" spans="1:22" s="9" customFormat="1" ht="12">
      <c r="C43" s="388"/>
      <c r="D43" s="366">
        <f>[1]!srMaxLETt(D47,3)</f>
        <v>9.3884401440000005</v>
      </c>
      <c r="E43" s="459">
        <f>[1]!srMaxLETt2E(D47)</f>
        <v>3.4090909090909092</v>
      </c>
      <c r="F43" s="461"/>
      <c r="G43" s="463">
        <f>[1]!srE2Rng(D47,E47)/1000</f>
        <v>27.312000000000001</v>
      </c>
      <c r="H43" s="236"/>
      <c r="I43" s="169"/>
      <c r="J43" s="169"/>
      <c r="K43" s="88"/>
      <c r="L43" s="88"/>
      <c r="M43" s="464">
        <f>N43/F44</f>
        <v>1.8492382101818183</v>
      </c>
      <c r="N43" s="428">
        <f>D43*G47</f>
        <v>244.09944374400001</v>
      </c>
    </row>
    <row r="44" spans="1:22">
      <c r="B44" s="9"/>
      <c r="C44" s="386"/>
      <c r="D44" s="112"/>
      <c r="E44" s="171" t="str">
        <f>[1]!srElmNm([1]!srInfoIonZ(D47))&amp;"-"</f>
        <v>Xe-</v>
      </c>
      <c r="F44" s="172">
        <f>[1]!srInfoIonA(D47)</f>
        <v>132</v>
      </c>
      <c r="G44" s="186" t="str">
        <f>[1]!srInfoTrgName(D47)</f>
        <v>Air</v>
      </c>
      <c r="H44" s="359" t="s">
        <v>161</v>
      </c>
      <c r="I44" s="233" t="b">
        <f>[1]!srInfoTgIsGas(D47)</f>
        <v>1</v>
      </c>
      <c r="J44" s="187"/>
      <c r="K44" s="362" t="str">
        <f>IF((K47&lt;=0),"Stopped","")</f>
        <v/>
      </c>
      <c r="L44" s="188"/>
      <c r="M44" s="128"/>
      <c r="N44" s="387"/>
      <c r="O44" s="9"/>
      <c r="P44" s="9"/>
      <c r="Q44" s="9"/>
      <c r="R44" s="9"/>
      <c r="S44" s="9"/>
      <c r="T44" s="9"/>
      <c r="U44" s="9"/>
      <c r="V44" s="9"/>
    </row>
    <row r="45" spans="1:22">
      <c r="B45" s="9"/>
      <c r="C45" s="388"/>
      <c r="D45" s="360" t="s">
        <v>277</v>
      </c>
      <c r="E45" s="87" t="s">
        <v>42</v>
      </c>
      <c r="F45" s="169"/>
      <c r="G45" s="189" t="s">
        <v>63</v>
      </c>
      <c r="H45" s="189" t="s">
        <v>97</v>
      </c>
      <c r="I45" s="189" t="s">
        <v>98</v>
      </c>
      <c r="J45" s="169"/>
      <c r="K45" s="190" t="s">
        <v>64</v>
      </c>
      <c r="L45" s="190" t="s">
        <v>65</v>
      </c>
      <c r="M45" s="91" t="s">
        <v>66</v>
      </c>
      <c r="N45" s="404" t="s">
        <v>67</v>
      </c>
      <c r="O45" s="9"/>
      <c r="P45" s="9"/>
      <c r="Q45" s="9"/>
      <c r="R45" s="9"/>
      <c r="S45" s="9"/>
      <c r="T45" s="9"/>
      <c r="U45" s="9"/>
      <c r="V45" s="9"/>
    </row>
    <row r="46" spans="1:22">
      <c r="B46" s="9"/>
      <c r="C46" s="388"/>
      <c r="D46" s="356">
        <f>E47*F44</f>
        <v>132</v>
      </c>
      <c r="E46" s="87" t="s">
        <v>0</v>
      </c>
      <c r="F46" s="169"/>
      <c r="G46" s="358" t="s">
        <v>100</v>
      </c>
      <c r="H46" s="189" t="s">
        <v>101</v>
      </c>
      <c r="I46" s="189" t="s">
        <v>102</v>
      </c>
      <c r="J46" s="169"/>
      <c r="K46" s="190" t="s">
        <v>0</v>
      </c>
      <c r="L46" s="190" t="s">
        <v>68</v>
      </c>
      <c r="M46" s="91" t="s">
        <v>0</v>
      </c>
      <c r="N46" s="404" t="s">
        <v>68</v>
      </c>
      <c r="O46" s="9"/>
      <c r="P46" s="9"/>
      <c r="Q46" s="9"/>
      <c r="R46" s="9"/>
      <c r="S46" s="9"/>
      <c r="T46" s="9"/>
      <c r="U46" s="9"/>
      <c r="V46" s="9"/>
    </row>
    <row r="47" spans="1:22" ht="14.25" thickBot="1">
      <c r="B47" s="9"/>
      <c r="C47" s="390" t="s">
        <v>47</v>
      </c>
      <c r="D47" s="391" t="s">
        <v>599</v>
      </c>
      <c r="E47" s="471">
        <f>E$17</f>
        <v>1</v>
      </c>
      <c r="F47" s="393" t="s">
        <v>49</v>
      </c>
      <c r="G47" s="406">
        <f>G$17</f>
        <v>26</v>
      </c>
      <c r="H47" s="406">
        <f>H$17</f>
        <v>101325</v>
      </c>
      <c r="I47" s="406">
        <f>I$17</f>
        <v>20</v>
      </c>
      <c r="J47" s="393" t="s">
        <v>49</v>
      </c>
      <c r="K47" s="407">
        <f>[1]!srEnewGas(D47,E47,G47,H47,I47)</f>
        <v>1.4523809523809524E-2</v>
      </c>
      <c r="L47" s="408">
        <f>K47*F44</f>
        <v>1.9171428571428573</v>
      </c>
      <c r="M47" s="397">
        <f>E47-K47</f>
        <v>0.98547619047619051</v>
      </c>
      <c r="N47" s="398">
        <f>M47*F44</f>
        <v>130.08285714285714</v>
      </c>
      <c r="O47" s="9"/>
      <c r="P47" s="9"/>
      <c r="Q47" s="9"/>
      <c r="R47" s="9"/>
      <c r="S47" s="9"/>
      <c r="T47" s="9"/>
      <c r="U47" s="9"/>
      <c r="V47" s="9"/>
    </row>
    <row r="48" spans="1:22" s="70" customFormat="1">
      <c r="B48" s="217"/>
      <c r="C48" s="469"/>
      <c r="D48" s="461" t="s">
        <v>294</v>
      </c>
      <c r="E48" s="460" t="s">
        <v>303</v>
      </c>
      <c r="F48" s="461"/>
      <c r="G48" s="462" t="s">
        <v>304</v>
      </c>
      <c r="H48" s="203"/>
      <c r="I48" s="465"/>
      <c r="J48" s="207"/>
      <c r="K48" s="466"/>
      <c r="L48" s="466"/>
      <c r="M48" s="480" t="s">
        <v>301</v>
      </c>
      <c r="N48" s="481" t="s">
        <v>302</v>
      </c>
      <c r="R48" s="217"/>
      <c r="S48" s="217"/>
      <c r="T48" s="217"/>
      <c r="U48" s="217"/>
    </row>
    <row r="49" spans="2:22" s="70" customFormat="1">
      <c r="B49" s="217"/>
      <c r="C49" s="469"/>
      <c r="D49" s="366">
        <f>[1]!srMaxLETt(D52,3)</f>
        <v>3.0286599744</v>
      </c>
      <c r="E49" s="459">
        <f>[1]!srMaxLETt2E(D52)</f>
        <v>0.6875</v>
      </c>
      <c r="F49" s="461"/>
      <c r="G49" s="473">
        <f>[1]!srE2Rng(D52,E52)/1000</f>
        <v>27.065714285714286</v>
      </c>
      <c r="H49" s="203"/>
      <c r="I49" s="467"/>
      <c r="J49" s="207"/>
      <c r="K49" s="36"/>
      <c r="L49" s="36"/>
      <c r="M49" s="464">
        <f>N49/F50</f>
        <v>1.9686289833599999</v>
      </c>
      <c r="N49" s="428">
        <f>D49*G52</f>
        <v>78.7451593344</v>
      </c>
      <c r="O49" s="217"/>
      <c r="P49" s="217"/>
      <c r="Q49" s="217"/>
      <c r="R49" s="217"/>
      <c r="S49" s="217"/>
      <c r="T49" s="217"/>
      <c r="U49" s="217"/>
    </row>
    <row r="50" spans="2:22">
      <c r="B50" s="9"/>
      <c r="C50" s="386"/>
      <c r="D50" s="361" t="s">
        <v>278</v>
      </c>
      <c r="E50" s="171" t="str">
        <f>[1]!srElmNm([1]!srInfoIonZ(D52))&amp;"-"</f>
        <v>Ar-</v>
      </c>
      <c r="F50" s="172">
        <f>[1]!srInfoIonA(D52)</f>
        <v>40</v>
      </c>
      <c r="G50" s="186" t="str">
        <f>[1]!srInfoTrgName(D52)</f>
        <v>Air</v>
      </c>
      <c r="H50" s="359" t="s">
        <v>161</v>
      </c>
      <c r="I50" s="233" t="b">
        <f>[1]!srInfoTgIsGas(D52)</f>
        <v>1</v>
      </c>
      <c r="J50" s="187"/>
      <c r="K50" s="188"/>
      <c r="L50" s="194"/>
      <c r="M50" s="128"/>
      <c r="N50" s="387"/>
      <c r="O50" s="9"/>
      <c r="P50" s="9"/>
      <c r="Q50" s="9"/>
      <c r="R50" s="9"/>
      <c r="S50" s="9"/>
      <c r="T50" s="9"/>
      <c r="U50" s="9"/>
      <c r="V50" s="9"/>
    </row>
    <row r="51" spans="2:22">
      <c r="B51" s="9"/>
      <c r="C51" s="388"/>
      <c r="D51" s="356">
        <f>E52*F50</f>
        <v>62.895962732919259</v>
      </c>
      <c r="E51" s="182" t="s">
        <v>52</v>
      </c>
      <c r="F51" s="169"/>
      <c r="G51" s="199" t="s">
        <v>81</v>
      </c>
      <c r="H51" s="189" t="s">
        <v>103</v>
      </c>
      <c r="I51" s="189" t="s">
        <v>104</v>
      </c>
      <c r="J51" s="169"/>
      <c r="K51" s="198" t="s">
        <v>82</v>
      </c>
      <c r="L51" s="196" t="s">
        <v>72</v>
      </c>
      <c r="M51" s="197" t="s">
        <v>79</v>
      </c>
      <c r="N51" s="389" t="s">
        <v>74</v>
      </c>
      <c r="O51" s="9"/>
      <c r="P51" s="9"/>
      <c r="Q51" s="9"/>
      <c r="R51" s="9"/>
      <c r="S51" s="9"/>
      <c r="T51" s="9"/>
      <c r="U51" s="9"/>
      <c r="V51" s="9"/>
    </row>
    <row r="52" spans="2:22" ht="14.25" thickBot="1">
      <c r="B52" s="9"/>
      <c r="C52" s="390" t="s">
        <v>55</v>
      </c>
      <c r="D52" s="391" t="s">
        <v>606</v>
      </c>
      <c r="E52" s="472">
        <f>[1]!srEnew_eq_EoldGas(D47,D52,E47,G47,H47,I47,H52,I52)</f>
        <v>1.5723990683229814</v>
      </c>
      <c r="F52" s="393" t="s">
        <v>49</v>
      </c>
      <c r="G52" s="416">
        <f>G47</f>
        <v>26</v>
      </c>
      <c r="H52" s="406">
        <f>H$22</f>
        <v>101325</v>
      </c>
      <c r="I52" s="406">
        <f>I$22</f>
        <v>20</v>
      </c>
      <c r="J52" s="393" t="s">
        <v>49</v>
      </c>
      <c r="K52" s="395">
        <f>[1]!srEnewGas(D52,E52,G52,H52,I52)</f>
        <v>1.4523809523809531E-2</v>
      </c>
      <c r="L52" s="396">
        <f>K52*F50</f>
        <v>0.58095238095238122</v>
      </c>
      <c r="M52" s="397">
        <f>E52-K52</f>
        <v>1.5578752587991718</v>
      </c>
      <c r="N52" s="398">
        <f>M52*F50</f>
        <v>62.315010351966869</v>
      </c>
      <c r="O52" s="9"/>
      <c r="P52" s="9"/>
      <c r="Q52" s="9"/>
      <c r="R52" s="9"/>
      <c r="S52" s="9"/>
      <c r="T52" s="9"/>
      <c r="U52" s="9"/>
      <c r="V52" s="9"/>
    </row>
    <row r="53" spans="2:22">
      <c r="B53" s="9"/>
      <c r="C53" s="9"/>
      <c r="D53" s="9"/>
      <c r="E53" s="211" t="s">
        <v>269</v>
      </c>
      <c r="F53" s="9"/>
      <c r="G53" s="9"/>
      <c r="H53" s="9"/>
      <c r="I53" s="9"/>
      <c r="J53" s="9"/>
      <c r="K53" s="216" t="s">
        <v>106</v>
      </c>
      <c r="L53" s="184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2:22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2:22" ht="14.25">
      <c r="B55" s="9"/>
      <c r="C55" s="336"/>
      <c r="D55" s="334" t="s">
        <v>270</v>
      </c>
      <c r="E55" s="88"/>
      <c r="F55" s="169"/>
      <c r="G55" s="169"/>
      <c r="H55" s="169"/>
      <c r="I55" s="169"/>
      <c r="J55" s="169"/>
      <c r="K55" s="169"/>
      <c r="L55" s="16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2:22" ht="14.25" thickBot="1">
      <c r="B56" s="9"/>
      <c r="C56" s="9"/>
      <c r="D56" s="170"/>
      <c r="E56" s="169"/>
      <c r="F56" s="9"/>
      <c r="G56" s="169"/>
      <c r="H56" s="169"/>
      <c r="I56" s="169"/>
      <c r="J56" s="169"/>
      <c r="K56" s="169"/>
      <c r="L56" s="16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2:22" s="9" customFormat="1" ht="12">
      <c r="C57" s="399"/>
      <c r="D57" s="400" t="s">
        <v>297</v>
      </c>
      <c r="E57" s="379" t="s">
        <v>292</v>
      </c>
      <c r="F57" s="378"/>
      <c r="G57" s="380" t="s">
        <v>298</v>
      </c>
      <c r="H57" s="401"/>
      <c r="I57" s="402"/>
      <c r="J57" s="402"/>
      <c r="K57" s="400"/>
      <c r="L57" s="400"/>
      <c r="M57" s="410" t="s">
        <v>295</v>
      </c>
      <c r="N57" s="479" t="s">
        <v>300</v>
      </c>
    </row>
    <row r="58" spans="2:22" s="9" customFormat="1" ht="12">
      <c r="C58" s="388"/>
      <c r="D58" s="366">
        <f>[1]!srMaxLETt(D62,3)</f>
        <v>9.3884401440000005</v>
      </c>
      <c r="E58" s="459">
        <f>[1]!srMaxLETt2E(D62)</f>
        <v>3.4090909090909092</v>
      </c>
      <c r="F58" s="461"/>
      <c r="G58" s="463">
        <f>[1]!srE2Rng(D62,E62)/1000</f>
        <v>27.312000000000001</v>
      </c>
      <c r="H58" s="236"/>
      <c r="I58" s="169"/>
      <c r="J58" s="169"/>
      <c r="K58" s="88"/>
      <c r="L58" s="88"/>
      <c r="M58" s="464">
        <f>N58/F59</f>
        <v>1.8492382101818183</v>
      </c>
      <c r="N58" s="428">
        <f>D58*G62</f>
        <v>244.09944374400001</v>
      </c>
    </row>
    <row r="59" spans="2:22">
      <c r="B59" s="9"/>
      <c r="C59" s="386"/>
      <c r="D59" s="112"/>
      <c r="E59" s="171" t="str">
        <f>[1]!srElmNm([1]!srInfoIonZ(D62))&amp;"-"</f>
        <v>Xe-</v>
      </c>
      <c r="F59" s="172">
        <f>[1]!srInfoIonA(D62)</f>
        <v>132</v>
      </c>
      <c r="G59" s="186" t="str">
        <f>[1]!srInfoTrgName(D62)</f>
        <v>Air</v>
      </c>
      <c r="H59" s="359" t="s">
        <v>161</v>
      </c>
      <c r="I59" s="233" t="b">
        <f>[1]!srInfoTgIsGas(D62)</f>
        <v>1</v>
      </c>
      <c r="J59" s="187"/>
      <c r="K59" s="362" t="str">
        <f>IF((K62&lt;=0),"Stopped","")</f>
        <v/>
      </c>
      <c r="L59" s="362" t="str">
        <f>IF((L62&gt;D66),"Et11&gt;Et20","")</f>
        <v/>
      </c>
      <c r="M59" s="128"/>
      <c r="N59" s="387"/>
      <c r="O59" s="9"/>
      <c r="P59" s="9"/>
      <c r="Q59" s="9"/>
      <c r="R59" s="9"/>
      <c r="S59" s="9"/>
      <c r="T59" s="9"/>
      <c r="U59" s="9"/>
      <c r="V59" s="9"/>
    </row>
    <row r="60" spans="2:22">
      <c r="B60" s="9"/>
      <c r="C60" s="388"/>
      <c r="D60" s="360" t="s">
        <v>277</v>
      </c>
      <c r="E60" s="87" t="s">
        <v>42</v>
      </c>
      <c r="F60" s="169"/>
      <c r="G60" s="189" t="s">
        <v>63</v>
      </c>
      <c r="H60" s="189" t="s">
        <v>97</v>
      </c>
      <c r="I60" s="189" t="s">
        <v>98</v>
      </c>
      <c r="J60" s="169"/>
      <c r="K60" s="190" t="s">
        <v>64</v>
      </c>
      <c r="L60" s="190" t="s">
        <v>65</v>
      </c>
      <c r="M60" s="91" t="s">
        <v>66</v>
      </c>
      <c r="N60" s="404" t="s">
        <v>67</v>
      </c>
      <c r="O60" s="9"/>
      <c r="P60" s="9"/>
      <c r="Q60" s="9"/>
      <c r="R60" s="9"/>
      <c r="S60" s="9"/>
      <c r="T60" s="9"/>
      <c r="U60" s="9"/>
      <c r="V60" s="9"/>
    </row>
    <row r="61" spans="2:22">
      <c r="B61" s="9"/>
      <c r="C61" s="388"/>
      <c r="D61" s="356">
        <f>E62*F59</f>
        <v>132</v>
      </c>
      <c r="E61" s="87" t="s">
        <v>0</v>
      </c>
      <c r="F61" s="169"/>
      <c r="G61" s="358" t="s">
        <v>100</v>
      </c>
      <c r="H61" s="189" t="s">
        <v>101</v>
      </c>
      <c r="I61" s="189" t="s">
        <v>102</v>
      </c>
      <c r="J61" s="169"/>
      <c r="K61" s="190" t="s">
        <v>0</v>
      </c>
      <c r="L61" s="190" t="s">
        <v>68</v>
      </c>
      <c r="M61" s="91" t="s">
        <v>0</v>
      </c>
      <c r="N61" s="404" t="s">
        <v>68</v>
      </c>
      <c r="O61" s="9"/>
      <c r="P61" s="9"/>
      <c r="Q61" s="9"/>
      <c r="R61" s="9"/>
      <c r="S61" s="9"/>
      <c r="T61" s="9"/>
      <c r="U61" s="9"/>
      <c r="V61" s="9"/>
    </row>
    <row r="62" spans="2:22" ht="14.25" thickBot="1">
      <c r="B62" s="9"/>
      <c r="C62" s="390" t="s">
        <v>47</v>
      </c>
      <c r="D62" s="391" t="str">
        <f>D47</f>
        <v>srim132Xe_Air</v>
      </c>
      <c r="E62" s="471">
        <f>E$17</f>
        <v>1</v>
      </c>
      <c r="F62" s="393" t="s">
        <v>49</v>
      </c>
      <c r="G62" s="406">
        <f>G$17</f>
        <v>26</v>
      </c>
      <c r="H62" s="406">
        <f>H$17</f>
        <v>101325</v>
      </c>
      <c r="I62" s="406">
        <f>I$17</f>
        <v>20</v>
      </c>
      <c r="J62" s="393" t="s">
        <v>49</v>
      </c>
      <c r="K62" s="407">
        <f>[1]!srEnewGas(D62,E62,G62,H62,I62)</f>
        <v>1.4523809523809524E-2</v>
      </c>
      <c r="L62" s="408">
        <f>K62*F59</f>
        <v>1.9171428571428573</v>
      </c>
      <c r="M62" s="397">
        <f>E62-K62</f>
        <v>0.98547619047619051</v>
      </c>
      <c r="N62" s="398">
        <f>M62*F59</f>
        <v>130.08285714285714</v>
      </c>
      <c r="O62" s="9"/>
      <c r="P62" s="9"/>
      <c r="Q62" s="9"/>
      <c r="R62" s="9"/>
      <c r="S62" s="9"/>
      <c r="T62" s="9"/>
      <c r="U62" s="9"/>
      <c r="V62" s="9"/>
    </row>
    <row r="63" spans="2:22" s="70" customFormat="1">
      <c r="B63" s="217"/>
      <c r="C63" s="469"/>
      <c r="D63" s="461" t="s">
        <v>294</v>
      </c>
      <c r="E63" s="460" t="s">
        <v>303</v>
      </c>
      <c r="F63" s="461"/>
      <c r="G63" s="462" t="s">
        <v>304</v>
      </c>
      <c r="H63" s="203"/>
      <c r="I63" s="465"/>
      <c r="J63" s="207"/>
      <c r="K63" s="466"/>
      <c r="L63" s="466"/>
      <c r="M63" s="480" t="s">
        <v>301</v>
      </c>
      <c r="N63" s="481" t="s">
        <v>302</v>
      </c>
      <c r="R63" s="217"/>
      <c r="S63" s="217"/>
      <c r="T63" s="217"/>
      <c r="U63" s="217"/>
    </row>
    <row r="64" spans="2:22" s="70" customFormat="1">
      <c r="B64" s="217"/>
      <c r="C64" s="469"/>
      <c r="D64" s="366">
        <f>[1]!srMaxLETt(D67,3)</f>
        <v>3.0286599744</v>
      </c>
      <c r="E64" s="459">
        <f>[1]!srMaxLETt2E(D67)</f>
        <v>0.6875</v>
      </c>
      <c r="F64" s="461"/>
      <c r="G64" s="473">
        <f>[1]!srE2Rng(D67,E67)/1000</f>
        <v>29.032285714285713</v>
      </c>
      <c r="H64" s="203"/>
      <c r="I64" s="467"/>
      <c r="J64" s="207"/>
      <c r="K64" s="36"/>
      <c r="L64" s="36"/>
      <c r="M64" s="464">
        <f>N64/F65</f>
        <v>1.9686289833599999</v>
      </c>
      <c r="N64" s="428">
        <f>D64*G67</f>
        <v>78.7451593344</v>
      </c>
      <c r="O64" s="217"/>
      <c r="P64" s="217"/>
      <c r="Q64" s="217"/>
      <c r="R64" s="217"/>
      <c r="S64" s="217"/>
      <c r="T64" s="217"/>
      <c r="U64" s="217"/>
    </row>
    <row r="65" spans="2:22">
      <c r="B65" s="9"/>
      <c r="C65" s="386"/>
      <c r="D65" s="361" t="s">
        <v>278</v>
      </c>
      <c r="E65" s="171" t="str">
        <f>[1]!srElmNm([1]!srInfoIonZ(D67))&amp;"-"</f>
        <v>Ar-</v>
      </c>
      <c r="F65" s="172">
        <f>[1]!srInfoIonA(D67)</f>
        <v>40</v>
      </c>
      <c r="G65" s="186" t="str">
        <f>[1]!srInfoTrgName(D67)</f>
        <v>Air</v>
      </c>
      <c r="H65" s="359" t="s">
        <v>161</v>
      </c>
      <c r="I65" s="233" t="b">
        <f>[1]!srInfoTgIsGas(D67)</f>
        <v>1</v>
      </c>
      <c r="J65" s="187"/>
      <c r="K65" s="188"/>
      <c r="L65" s="194"/>
      <c r="M65" s="128"/>
      <c r="N65" s="387"/>
      <c r="O65" s="9"/>
      <c r="P65" s="9"/>
      <c r="Q65" s="9"/>
      <c r="R65" s="9"/>
      <c r="S65" s="9"/>
      <c r="T65" s="9"/>
      <c r="U65" s="9"/>
      <c r="V65" s="9"/>
    </row>
    <row r="66" spans="2:22">
      <c r="B66" s="9"/>
      <c r="C66" s="388"/>
      <c r="D66" s="356">
        <f>E67*F65</f>
        <v>68.154195011337862</v>
      </c>
      <c r="E66" s="182" t="s">
        <v>52</v>
      </c>
      <c r="F66" s="169"/>
      <c r="G66" s="199" t="s">
        <v>81</v>
      </c>
      <c r="H66" s="189" t="s">
        <v>103</v>
      </c>
      <c r="I66" s="189" t="s">
        <v>104</v>
      </c>
      <c r="J66" s="169"/>
      <c r="K66" s="196" t="s">
        <v>77</v>
      </c>
      <c r="L66" s="198" t="s">
        <v>78</v>
      </c>
      <c r="M66" s="197" t="s">
        <v>79</v>
      </c>
      <c r="N66" s="389" t="s">
        <v>74</v>
      </c>
      <c r="O66" s="9"/>
      <c r="P66" s="9"/>
      <c r="Q66" s="9"/>
      <c r="R66" s="9"/>
      <c r="S66" s="9"/>
      <c r="T66" s="9"/>
      <c r="U66" s="9"/>
      <c r="V66" s="9"/>
    </row>
    <row r="67" spans="2:22" ht="14.25" thickBot="1">
      <c r="B67" s="9"/>
      <c r="C67" s="390" t="s">
        <v>55</v>
      </c>
      <c r="D67" s="391" t="str">
        <f>D52</f>
        <v>srim40Ar_Air</v>
      </c>
      <c r="E67" s="472">
        <f>[1]!srEnewt_eq_EoldGas(D62,D67,E62,G62,H62,I62,H67,I67)</f>
        <v>1.7038548752834466</v>
      </c>
      <c r="F67" s="393" t="s">
        <v>49</v>
      </c>
      <c r="G67" s="416">
        <f>G62</f>
        <v>26</v>
      </c>
      <c r="H67" s="406">
        <f>H$22</f>
        <v>101325</v>
      </c>
      <c r="I67" s="406">
        <f>I$22</f>
        <v>20</v>
      </c>
      <c r="J67" s="393" t="s">
        <v>49</v>
      </c>
      <c r="K67" s="407">
        <f>[1]!srEnewGas(D67,E67,G67,H67,I67)</f>
        <v>4.7928571428571418E-2</v>
      </c>
      <c r="L67" s="414">
        <f>K67*F65</f>
        <v>1.9171428571428568</v>
      </c>
      <c r="M67" s="397">
        <f>E67-K67</f>
        <v>1.6559263038548753</v>
      </c>
      <c r="N67" s="398">
        <f>M67*F65</f>
        <v>66.237052154195013</v>
      </c>
      <c r="O67" s="9"/>
      <c r="P67" s="9"/>
      <c r="Q67" s="9"/>
      <c r="R67" s="9"/>
      <c r="S67" s="9"/>
      <c r="T67" s="9"/>
      <c r="U67" s="9"/>
      <c r="V67" s="9"/>
    </row>
    <row r="68" spans="2:22">
      <c r="B68" s="9"/>
      <c r="C68" s="9"/>
      <c r="D68" s="9"/>
      <c r="E68" s="211" t="s">
        <v>271</v>
      </c>
      <c r="F68" s="9"/>
      <c r="G68" s="9"/>
      <c r="H68" s="9"/>
      <c r="I68" s="9"/>
      <c r="J68" s="9"/>
      <c r="K68" s="216" t="s">
        <v>76</v>
      </c>
      <c r="L68" s="184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2:22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2:22" ht="14.25">
      <c r="B70" s="9"/>
      <c r="C70" s="336"/>
      <c r="D70" s="334" t="s">
        <v>273</v>
      </c>
      <c r="E70" s="88" t="s">
        <v>272</v>
      </c>
      <c r="F70" s="169"/>
      <c r="G70" s="169"/>
      <c r="H70" s="169"/>
      <c r="I70" s="169"/>
      <c r="J70" s="169"/>
      <c r="K70" s="169"/>
      <c r="L70" s="16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2:22" ht="14.25" thickBot="1">
      <c r="B71" s="9"/>
      <c r="C71" s="9"/>
      <c r="D71" s="170"/>
      <c r="E71" s="169"/>
      <c r="F71" s="9"/>
      <c r="G71" s="169"/>
      <c r="H71" s="169"/>
      <c r="I71" s="169"/>
      <c r="J71" s="169"/>
      <c r="K71" s="169"/>
      <c r="L71" s="169"/>
      <c r="M71" s="9"/>
      <c r="N71" s="9"/>
      <c r="O71" s="9"/>
      <c r="P71" s="9"/>
      <c r="Q71" s="9"/>
      <c r="R71" s="9"/>
      <c r="S71" s="9"/>
      <c r="T71" s="9"/>
      <c r="U71" s="9"/>
      <c r="V71" s="9"/>
    </row>
    <row r="72" spans="2:22" s="9" customFormat="1" ht="12">
      <c r="C72" s="399"/>
      <c r="D72" s="400" t="s">
        <v>297</v>
      </c>
      <c r="E72" s="379" t="s">
        <v>292</v>
      </c>
      <c r="F72" s="378"/>
      <c r="G72" s="380" t="s">
        <v>298</v>
      </c>
      <c r="H72" s="401"/>
      <c r="I72" s="402"/>
      <c r="J72" s="402"/>
      <c r="K72" s="400"/>
      <c r="L72" s="400"/>
      <c r="M72" s="410" t="s">
        <v>295</v>
      </c>
      <c r="N72" s="479" t="s">
        <v>300</v>
      </c>
    </row>
    <row r="73" spans="2:22" s="9" customFormat="1" ht="12">
      <c r="C73" s="388"/>
      <c r="D73" s="366">
        <f>[1]!srMaxLETt(D77,3)</f>
        <v>9.3884401440000005</v>
      </c>
      <c r="E73" s="459">
        <f>[1]!srMaxLETt2E(D77)</f>
        <v>3.4090909090909092</v>
      </c>
      <c r="F73" s="461"/>
      <c r="G73" s="463">
        <f>[1]!srE2Rng(D77,E77)/1000</f>
        <v>27.312000000000001</v>
      </c>
      <c r="H73" s="236"/>
      <c r="I73" s="169"/>
      <c r="J73" s="169"/>
      <c r="K73" s="88"/>
      <c r="L73" s="88"/>
      <c r="M73" s="464">
        <f>N73/F74</f>
        <v>1.8492382101818183</v>
      </c>
      <c r="N73" s="428">
        <f>D73*G77</f>
        <v>244.09944374400001</v>
      </c>
    </row>
    <row r="74" spans="2:22">
      <c r="B74" s="9"/>
      <c r="C74" s="386"/>
      <c r="D74" s="112"/>
      <c r="E74" s="171" t="str">
        <f>[1]!srElmNm([1]!srInfoIonZ(D77))&amp;"-"</f>
        <v>Xe-</v>
      </c>
      <c r="F74" s="172">
        <f>[1]!srInfoIonA(D77)</f>
        <v>132</v>
      </c>
      <c r="G74" s="186" t="str">
        <f>[1]!srInfoTrgName(D77)</f>
        <v>Air</v>
      </c>
      <c r="H74" s="359" t="s">
        <v>161</v>
      </c>
      <c r="I74" s="233" t="b">
        <f>[1]!srInfoTgIsGas(D77)</f>
        <v>1</v>
      </c>
      <c r="J74" s="187"/>
      <c r="K74" s="362" t="str">
        <f>IF((K77&lt;=0),"Stopped","")</f>
        <v/>
      </c>
      <c r="L74" s="188"/>
      <c r="M74" s="128"/>
      <c r="N74" s="387"/>
      <c r="O74" s="9"/>
      <c r="P74" s="9"/>
      <c r="Q74" s="9"/>
      <c r="R74" s="9"/>
      <c r="S74" s="9"/>
      <c r="T74" s="9"/>
      <c r="U74" s="9"/>
      <c r="V74" s="9"/>
    </row>
    <row r="75" spans="2:22">
      <c r="B75" s="9"/>
      <c r="C75" s="388"/>
      <c r="D75" s="360" t="s">
        <v>277</v>
      </c>
      <c r="E75" s="87" t="s">
        <v>42</v>
      </c>
      <c r="F75" s="169"/>
      <c r="G75" s="189" t="s">
        <v>63</v>
      </c>
      <c r="H75" s="189" t="s">
        <v>97</v>
      </c>
      <c r="I75" s="189" t="s">
        <v>98</v>
      </c>
      <c r="J75" s="169"/>
      <c r="K75" s="190" t="s">
        <v>64</v>
      </c>
      <c r="L75" s="190" t="s">
        <v>65</v>
      </c>
      <c r="M75" s="91" t="s">
        <v>66</v>
      </c>
      <c r="N75" s="404" t="s">
        <v>67</v>
      </c>
      <c r="O75" s="9"/>
      <c r="P75" s="9"/>
      <c r="Q75" s="9"/>
      <c r="R75" s="9"/>
      <c r="S75" s="9"/>
      <c r="T75" s="9"/>
      <c r="U75" s="9"/>
      <c r="V75" s="9"/>
    </row>
    <row r="76" spans="2:22">
      <c r="B76" s="9"/>
      <c r="C76" s="388"/>
      <c r="D76" s="356">
        <f>E77*F74</f>
        <v>132</v>
      </c>
      <c r="E76" s="87" t="s">
        <v>0</v>
      </c>
      <c r="F76" s="169"/>
      <c r="G76" s="358" t="s">
        <v>100</v>
      </c>
      <c r="H76" s="189" t="s">
        <v>101</v>
      </c>
      <c r="I76" s="189" t="s">
        <v>102</v>
      </c>
      <c r="J76" s="169"/>
      <c r="K76" s="190" t="s">
        <v>0</v>
      </c>
      <c r="L76" s="190" t="s">
        <v>68</v>
      </c>
      <c r="M76" s="91" t="s">
        <v>0</v>
      </c>
      <c r="N76" s="404" t="s">
        <v>68</v>
      </c>
      <c r="O76" s="9"/>
      <c r="P76" s="9"/>
      <c r="Q76" s="9"/>
      <c r="R76" s="9"/>
      <c r="S76" s="9"/>
      <c r="T76" s="9"/>
      <c r="U76" s="9"/>
      <c r="V76" s="9"/>
    </row>
    <row r="77" spans="2:22" ht="14.25" thickBot="1">
      <c r="B77" s="9"/>
      <c r="C77" s="390" t="s">
        <v>47</v>
      </c>
      <c r="D77" s="391" t="s">
        <v>599</v>
      </c>
      <c r="E77" s="471">
        <v>1</v>
      </c>
      <c r="F77" s="393" t="s">
        <v>49</v>
      </c>
      <c r="G77" s="406">
        <v>26</v>
      </c>
      <c r="H77" s="406">
        <v>101325</v>
      </c>
      <c r="I77" s="406">
        <v>20</v>
      </c>
      <c r="J77" s="393" t="s">
        <v>49</v>
      </c>
      <c r="K77" s="407">
        <f>[1]!srEnewGas(D77,E77,G77,H77,I77)</f>
        <v>1.4523809523809524E-2</v>
      </c>
      <c r="L77" s="408">
        <f>K77*F74</f>
        <v>1.9171428571428573</v>
      </c>
      <c r="M77" s="397">
        <f>E77-K77</f>
        <v>0.98547619047619051</v>
      </c>
      <c r="N77" s="398">
        <f>M77*F74</f>
        <v>130.08285714285714</v>
      </c>
      <c r="O77" s="9"/>
      <c r="P77" s="9"/>
      <c r="Q77" s="9"/>
      <c r="R77" s="9"/>
      <c r="S77" s="9"/>
      <c r="T77" s="9"/>
      <c r="U77" s="9"/>
      <c r="V77" s="9"/>
    </row>
    <row r="78" spans="2:22" s="70" customFormat="1">
      <c r="B78" s="217"/>
      <c r="C78" s="469"/>
      <c r="D78" s="461" t="s">
        <v>294</v>
      </c>
      <c r="E78" s="460" t="s">
        <v>303</v>
      </c>
      <c r="F78" s="461"/>
      <c r="G78" s="462" t="s">
        <v>304</v>
      </c>
      <c r="H78" s="203"/>
      <c r="I78" s="465"/>
      <c r="J78" s="207"/>
      <c r="K78" s="466"/>
      <c r="L78" s="466"/>
      <c r="M78" s="480" t="s">
        <v>301</v>
      </c>
      <c r="N78" s="481" t="s">
        <v>302</v>
      </c>
      <c r="R78" s="217"/>
      <c r="S78" s="217"/>
      <c r="T78" s="217"/>
      <c r="U78" s="217"/>
    </row>
    <row r="79" spans="2:22" s="70" customFormat="1">
      <c r="B79" s="217"/>
      <c r="C79" s="469"/>
      <c r="D79" s="366">
        <f>[1]!srMaxLETt(D82,3)</f>
        <v>3.0286599744</v>
      </c>
      <c r="E79" s="459">
        <f>[1]!srMaxLETt2E(D82)</f>
        <v>0.6875</v>
      </c>
      <c r="F79" s="461"/>
      <c r="G79" s="463">
        <f>[1]!srE2Rng(D82,E82)/1000</f>
        <v>18.989999999999998</v>
      </c>
      <c r="H79" s="203"/>
      <c r="I79" s="467"/>
      <c r="J79" s="207"/>
      <c r="K79" s="36"/>
      <c r="L79" s="36"/>
      <c r="M79" s="468">
        <f>N79/F80</f>
        <v>1.3571641678141713</v>
      </c>
      <c r="N79" s="470">
        <f>D79*G82</f>
        <v>54.286566712566852</v>
      </c>
      <c r="O79" s="217"/>
      <c r="P79" s="217"/>
      <c r="Q79" s="217"/>
      <c r="R79" s="217"/>
      <c r="S79" s="217"/>
      <c r="T79" s="217"/>
      <c r="U79" s="217"/>
    </row>
    <row r="80" spans="2:22">
      <c r="B80" s="9"/>
      <c r="C80" s="386"/>
      <c r="D80" s="361" t="s">
        <v>278</v>
      </c>
      <c r="E80" s="171" t="str">
        <f>[1]!srElmNm([1]!srInfoIonZ(D82))&amp;"-"</f>
        <v>Ar-</v>
      </c>
      <c r="F80" s="172">
        <f>[1]!srInfoIonA(D82)</f>
        <v>40</v>
      </c>
      <c r="G80" s="186" t="str">
        <f>[1]!srInfoTrgName(D82)</f>
        <v>Air</v>
      </c>
      <c r="H80" s="359" t="s">
        <v>161</v>
      </c>
      <c r="I80" s="233" t="b">
        <f>[1]!srInfoTgIsGas(D82)</f>
        <v>1</v>
      </c>
      <c r="J80" s="187"/>
      <c r="K80" s="188"/>
      <c r="L80" s="194"/>
      <c r="M80" s="128"/>
      <c r="N80" s="387"/>
      <c r="O80" s="9"/>
      <c r="P80" s="9"/>
      <c r="Q80" s="9"/>
      <c r="R80" s="9"/>
      <c r="S80" s="9"/>
      <c r="T80" s="9"/>
      <c r="U80" s="9"/>
      <c r="V80" s="9"/>
    </row>
    <row r="81" spans="2:22">
      <c r="B81" s="9"/>
      <c r="C81" s="388"/>
      <c r="D81" s="356">
        <f>E82*F80</f>
        <v>40</v>
      </c>
      <c r="E81" s="178" t="s">
        <v>69</v>
      </c>
      <c r="F81" s="169"/>
      <c r="G81" s="183" t="s">
        <v>70</v>
      </c>
      <c r="H81" s="189" t="s">
        <v>103</v>
      </c>
      <c r="I81" s="189" t="s">
        <v>104</v>
      </c>
      <c r="J81" s="169"/>
      <c r="K81" s="196" t="s">
        <v>82</v>
      </c>
      <c r="L81" s="196" t="s">
        <v>72</v>
      </c>
      <c r="M81" s="200" t="s">
        <v>73</v>
      </c>
      <c r="N81" s="389" t="s">
        <v>74</v>
      </c>
      <c r="O81" s="9"/>
      <c r="P81" s="9"/>
      <c r="Q81" s="9"/>
      <c r="R81" s="9"/>
      <c r="S81" s="9"/>
      <c r="T81" s="9"/>
      <c r="U81" s="9"/>
      <c r="V81" s="9"/>
    </row>
    <row r="82" spans="2:22" ht="14.25" thickBot="1">
      <c r="B82" s="9"/>
      <c r="C82" s="390" t="s">
        <v>55</v>
      </c>
      <c r="D82" s="391" t="s">
        <v>606</v>
      </c>
      <c r="E82" s="413">
        <f>E77</f>
        <v>1</v>
      </c>
      <c r="F82" s="393" t="s">
        <v>49</v>
      </c>
      <c r="G82" s="394">
        <f>[1]!srDEu_eq_ThGas(D77,D82,E77,G77,H77,I77,H82,I82)</f>
        <v>17.924285714285713</v>
      </c>
      <c r="H82" s="406">
        <v>101325</v>
      </c>
      <c r="I82" s="406">
        <v>20</v>
      </c>
      <c r="J82" s="393" t="s">
        <v>49</v>
      </c>
      <c r="K82" s="407">
        <f>[1]!srEnewGas(D82,E82,G82,H82,I82)</f>
        <v>1.4523809523809531E-2</v>
      </c>
      <c r="L82" s="396">
        <f>K82*F80</f>
        <v>0.58095238095238122</v>
      </c>
      <c r="M82" s="417">
        <f>E82-K82</f>
        <v>0.98547619047619051</v>
      </c>
      <c r="N82" s="398">
        <f>M82*F80</f>
        <v>39.419047619047618</v>
      </c>
      <c r="O82" s="9"/>
      <c r="P82" s="9"/>
      <c r="Q82" s="9"/>
      <c r="R82" s="9"/>
      <c r="S82" s="9"/>
      <c r="T82" s="9"/>
      <c r="U82" s="9"/>
      <c r="V82" s="9"/>
    </row>
    <row r="83" spans="2:22">
      <c r="B83" s="9"/>
      <c r="C83" s="9"/>
      <c r="D83" s="9"/>
      <c r="E83" s="9"/>
      <c r="F83" s="9"/>
      <c r="G83" s="211" t="s">
        <v>274</v>
      </c>
      <c r="H83" s="211"/>
      <c r="I83" s="211"/>
      <c r="J83" s="9"/>
      <c r="K83" s="216" t="s">
        <v>76</v>
      </c>
      <c r="L83" s="184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2:22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</row>
    <row r="85" spans="2:22" ht="14.25">
      <c r="B85" s="9"/>
      <c r="C85" s="336"/>
      <c r="D85" s="334" t="s">
        <v>275</v>
      </c>
      <c r="E85" s="88"/>
      <c r="F85" s="169"/>
      <c r="G85" s="169"/>
      <c r="H85" s="169"/>
      <c r="I85" s="169"/>
      <c r="J85" s="169"/>
      <c r="K85" s="169"/>
      <c r="L85" s="169"/>
      <c r="M85" s="9"/>
      <c r="N85" s="9"/>
      <c r="O85" s="9"/>
      <c r="P85" s="9"/>
      <c r="Q85" s="9"/>
      <c r="R85" s="9"/>
      <c r="S85" s="9"/>
      <c r="T85" s="9"/>
      <c r="U85" s="9"/>
      <c r="V85" s="9"/>
    </row>
    <row r="86" spans="2:22" ht="14.25" thickBot="1">
      <c r="B86" s="9"/>
      <c r="C86" s="9"/>
      <c r="D86" s="170"/>
      <c r="E86" s="169"/>
      <c r="F86" s="9"/>
      <c r="G86" s="169"/>
      <c r="H86" s="169"/>
      <c r="I86" s="169"/>
      <c r="J86" s="169"/>
      <c r="K86" s="169"/>
      <c r="L86" s="169"/>
      <c r="M86" s="9"/>
      <c r="N86" s="9"/>
      <c r="O86" s="9"/>
      <c r="P86" s="9"/>
      <c r="Q86" s="9"/>
      <c r="R86" s="9"/>
      <c r="S86" s="9"/>
      <c r="T86" s="9"/>
      <c r="U86" s="9"/>
      <c r="V86" s="9"/>
    </row>
    <row r="87" spans="2:22" s="9" customFormat="1" ht="12">
      <c r="C87" s="399"/>
      <c r="D87" s="400" t="s">
        <v>297</v>
      </c>
      <c r="E87" s="379" t="s">
        <v>292</v>
      </c>
      <c r="F87" s="378"/>
      <c r="G87" s="380" t="s">
        <v>298</v>
      </c>
      <c r="H87" s="401"/>
      <c r="I87" s="402"/>
      <c r="J87" s="402"/>
      <c r="K87" s="400"/>
      <c r="L87" s="400"/>
      <c r="M87" s="410" t="s">
        <v>295</v>
      </c>
      <c r="N87" s="479" t="s">
        <v>300</v>
      </c>
    </row>
    <row r="88" spans="2:22" s="9" customFormat="1" ht="12">
      <c r="C88" s="388"/>
      <c r="D88" s="366">
        <f>[1]!srMaxLETt(D92,3)</f>
        <v>9.3884401440000005</v>
      </c>
      <c r="E88" s="459">
        <f>[1]!srMaxLETt2E(D92)</f>
        <v>3.4090909090909092</v>
      </c>
      <c r="F88" s="461"/>
      <c r="G88" s="463">
        <f>[1]!srE2Rng(D92,E92)/1000</f>
        <v>27.312000000000001</v>
      </c>
      <c r="H88" s="236"/>
      <c r="I88" s="169"/>
      <c r="J88" s="169"/>
      <c r="K88" s="88"/>
      <c r="L88" s="88"/>
      <c r="M88" s="464">
        <f>N88/F89</f>
        <v>0.28449818618181821</v>
      </c>
      <c r="N88" s="428">
        <f>D88*G92</f>
        <v>37.553760576000002</v>
      </c>
    </row>
    <row r="89" spans="2:22">
      <c r="B89" s="9"/>
      <c r="C89" s="386"/>
      <c r="D89" s="112"/>
      <c r="E89" s="171" t="str">
        <f>[1]!srElmNm([1]!srInfoIonZ(D92))&amp;"-"</f>
        <v>Xe-</v>
      </c>
      <c r="F89" s="172">
        <f>[1]!srInfoIonA(D92)</f>
        <v>132</v>
      </c>
      <c r="G89" s="186" t="str">
        <f>[1]!srInfoTrgName(D92)</f>
        <v>Air</v>
      </c>
      <c r="H89" s="359" t="s">
        <v>161</v>
      </c>
      <c r="I89" s="233" t="b">
        <f>[1]!srInfoTgIsGas(D92)</f>
        <v>1</v>
      </c>
      <c r="J89" s="187"/>
      <c r="K89" s="362" t="str">
        <f>IF((K92&lt;=0),"Stopped","")</f>
        <v/>
      </c>
      <c r="L89" s="188"/>
      <c r="M89" s="128"/>
      <c r="N89" s="418" t="str">
        <f>IF((N92&gt;D96),"dEt1&gt;Et20","")</f>
        <v/>
      </c>
      <c r="O89" s="9"/>
      <c r="P89" s="9"/>
      <c r="Q89" s="9"/>
      <c r="R89" s="9"/>
      <c r="S89" s="9"/>
      <c r="T89" s="9"/>
      <c r="U89" s="9"/>
      <c r="V89" s="9"/>
    </row>
    <row r="90" spans="2:22">
      <c r="B90" s="9"/>
      <c r="C90" s="388"/>
      <c r="D90" s="360" t="s">
        <v>277</v>
      </c>
      <c r="E90" s="87" t="s">
        <v>42</v>
      </c>
      <c r="F90" s="169"/>
      <c r="G90" s="189" t="s">
        <v>63</v>
      </c>
      <c r="H90" s="189" t="s">
        <v>97</v>
      </c>
      <c r="I90" s="189" t="s">
        <v>98</v>
      </c>
      <c r="J90" s="169"/>
      <c r="K90" s="190" t="s">
        <v>64</v>
      </c>
      <c r="L90" s="190" t="s">
        <v>65</v>
      </c>
      <c r="M90" s="91" t="s">
        <v>66</v>
      </c>
      <c r="N90" s="404" t="s">
        <v>67</v>
      </c>
      <c r="O90" s="9"/>
      <c r="P90" s="9"/>
      <c r="Q90" s="9"/>
      <c r="R90" s="9"/>
      <c r="S90" s="9"/>
      <c r="T90" s="9"/>
      <c r="U90" s="9"/>
      <c r="V90" s="9"/>
    </row>
    <row r="91" spans="2:22">
      <c r="B91" s="9"/>
      <c r="C91" s="388"/>
      <c r="D91" s="356">
        <f>E92*F89</f>
        <v>132</v>
      </c>
      <c r="E91" s="87" t="s">
        <v>0</v>
      </c>
      <c r="F91" s="169"/>
      <c r="G91" s="358" t="s">
        <v>100</v>
      </c>
      <c r="H91" s="189" t="s">
        <v>101</v>
      </c>
      <c r="I91" s="189" t="s">
        <v>102</v>
      </c>
      <c r="J91" s="169"/>
      <c r="K91" s="190" t="s">
        <v>0</v>
      </c>
      <c r="L91" s="190" t="s">
        <v>68</v>
      </c>
      <c r="M91" s="91" t="s">
        <v>0</v>
      </c>
      <c r="N91" s="404" t="s">
        <v>68</v>
      </c>
      <c r="O91" s="9"/>
      <c r="P91" s="9"/>
      <c r="Q91" s="9"/>
      <c r="R91" s="9"/>
      <c r="S91" s="9"/>
      <c r="T91" s="9"/>
      <c r="U91" s="9"/>
      <c r="V91" s="9"/>
    </row>
    <row r="92" spans="2:22" ht="14.25" thickBot="1">
      <c r="B92" s="9"/>
      <c r="C92" s="390" t="s">
        <v>47</v>
      </c>
      <c r="D92" s="391" t="str">
        <f>D77</f>
        <v>srim132Xe_Air</v>
      </c>
      <c r="E92" s="471">
        <f>E77</f>
        <v>1</v>
      </c>
      <c r="F92" s="393" t="s">
        <v>49</v>
      </c>
      <c r="G92" s="406">
        <v>4</v>
      </c>
      <c r="H92" s="406">
        <f>H77</f>
        <v>101325</v>
      </c>
      <c r="I92" s="406">
        <f>I77</f>
        <v>20</v>
      </c>
      <c r="J92" s="393" t="s">
        <v>49</v>
      </c>
      <c r="K92" s="407">
        <f>[1]!srEnewGas(D92,E92,G92,H92,I92)</f>
        <v>0.748</v>
      </c>
      <c r="L92" s="408">
        <f>K92*F89</f>
        <v>98.736000000000004</v>
      </c>
      <c r="M92" s="397">
        <f>E92-K92</f>
        <v>0.252</v>
      </c>
      <c r="N92" s="398">
        <f>M92*F89</f>
        <v>33.264000000000003</v>
      </c>
      <c r="O92" s="9"/>
      <c r="P92" s="9"/>
      <c r="Q92" s="9"/>
      <c r="R92" s="9"/>
      <c r="S92" s="9"/>
      <c r="T92" s="9"/>
      <c r="U92" s="9"/>
      <c r="V92" s="9"/>
    </row>
    <row r="93" spans="2:22" s="70" customFormat="1">
      <c r="B93" s="217"/>
      <c r="C93" s="469"/>
      <c r="D93" s="461" t="s">
        <v>294</v>
      </c>
      <c r="E93" s="460" t="s">
        <v>303</v>
      </c>
      <c r="F93" s="461"/>
      <c r="G93" s="462" t="s">
        <v>304</v>
      </c>
      <c r="H93" s="203"/>
      <c r="I93" s="465"/>
      <c r="J93" s="207"/>
      <c r="K93" s="466"/>
      <c r="L93" s="466"/>
      <c r="M93" s="480" t="s">
        <v>301</v>
      </c>
      <c r="N93" s="481" t="s">
        <v>302</v>
      </c>
      <c r="R93" s="217"/>
      <c r="S93" s="217"/>
      <c r="T93" s="217"/>
      <c r="U93" s="217"/>
    </row>
    <row r="94" spans="2:22" s="70" customFormat="1">
      <c r="B94" s="217"/>
      <c r="C94" s="469"/>
      <c r="D94" s="366">
        <f>[1]!srMaxLETt(D97,3)</f>
        <v>3.0286599744</v>
      </c>
      <c r="E94" s="459">
        <f>[1]!srMaxLETt2E(D97)</f>
        <v>0.6875</v>
      </c>
      <c r="F94" s="461"/>
      <c r="G94" s="463">
        <f>[1]!srE2Rng(D97,E97)/1000</f>
        <v>18.989999999999998</v>
      </c>
      <c r="H94" s="203"/>
      <c r="I94" s="467"/>
      <c r="J94" s="207"/>
      <c r="K94" s="36"/>
      <c r="L94" s="36"/>
      <c r="M94" s="468">
        <f>N94/F95</f>
        <v>0.90389145471978272</v>
      </c>
      <c r="N94" s="470">
        <f>D94*G97</f>
        <v>36.155658188791307</v>
      </c>
      <c r="O94" s="217"/>
      <c r="P94" s="217"/>
      <c r="Q94" s="217"/>
      <c r="R94" s="217"/>
      <c r="S94" s="217"/>
      <c r="T94" s="217"/>
      <c r="U94" s="217"/>
    </row>
    <row r="95" spans="2:22">
      <c r="B95" s="9"/>
      <c r="C95" s="386"/>
      <c r="D95" s="361" t="s">
        <v>278</v>
      </c>
      <c r="E95" s="171" t="str">
        <f>[1]!srElmNm([1]!srInfoIonZ(D97))&amp;"-"</f>
        <v>Ar-</v>
      </c>
      <c r="F95" s="172">
        <f>[1]!srInfoIonA(D97)</f>
        <v>40</v>
      </c>
      <c r="G95" s="186" t="str">
        <f>[1]!srInfoTrgName(D97)</f>
        <v>Air</v>
      </c>
      <c r="H95" s="359" t="s">
        <v>161</v>
      </c>
      <c r="I95" s="233" t="b">
        <f>[1]!srInfoTgIsGas(D97)</f>
        <v>1</v>
      </c>
      <c r="J95" s="187"/>
      <c r="K95" s="188"/>
      <c r="L95" s="194"/>
      <c r="M95" s="128"/>
      <c r="N95" s="387"/>
      <c r="O95" s="9"/>
      <c r="P95" s="9"/>
      <c r="Q95" s="9"/>
      <c r="R95" s="9"/>
      <c r="S95" s="9"/>
      <c r="T95" s="9"/>
      <c r="U95" s="9"/>
      <c r="V95" s="9"/>
    </row>
    <row r="96" spans="2:22">
      <c r="B96" s="9"/>
      <c r="C96" s="388"/>
      <c r="D96" s="356">
        <f>E97*F95</f>
        <v>40</v>
      </c>
      <c r="E96" s="178" t="s">
        <v>69</v>
      </c>
      <c r="F96" s="169"/>
      <c r="G96" s="183" t="s">
        <v>70</v>
      </c>
      <c r="H96" s="189" t="s">
        <v>103</v>
      </c>
      <c r="I96" s="189" t="s">
        <v>104</v>
      </c>
      <c r="J96" s="169"/>
      <c r="K96" s="196" t="s">
        <v>77</v>
      </c>
      <c r="L96" s="196" t="s">
        <v>72</v>
      </c>
      <c r="M96" s="197" t="s">
        <v>79</v>
      </c>
      <c r="N96" s="419" t="s">
        <v>90</v>
      </c>
      <c r="O96" s="9"/>
      <c r="P96" s="9"/>
      <c r="Q96" s="9"/>
      <c r="R96" s="9"/>
      <c r="S96" s="9"/>
      <c r="T96" s="9"/>
      <c r="U96" s="9"/>
      <c r="V96" s="9"/>
    </row>
    <row r="97" spans="2:22" ht="14.25" thickBot="1">
      <c r="B97" s="9"/>
      <c r="C97" s="390" t="s">
        <v>55</v>
      </c>
      <c r="D97" s="391" t="str">
        <f>D82</f>
        <v>srim40Ar_Air</v>
      </c>
      <c r="E97" s="413">
        <f>E92</f>
        <v>1</v>
      </c>
      <c r="F97" s="393" t="s">
        <v>49</v>
      </c>
      <c r="G97" s="394">
        <f>[1]!srDEt_eq_ThGas(D92,D97,E92,G92,H92,I92,H97,I97)</f>
        <v>11.937840000000003</v>
      </c>
      <c r="H97" s="406">
        <f>H82</f>
        <v>101325</v>
      </c>
      <c r="I97" s="406">
        <f>I82</f>
        <v>20</v>
      </c>
      <c r="J97" s="393" t="s">
        <v>49</v>
      </c>
      <c r="K97" s="407">
        <f>[1]!srEnewGas(D97,E97,G97,H97,I97)</f>
        <v>0.16839999999999983</v>
      </c>
      <c r="L97" s="396">
        <f>K97*F95</f>
        <v>6.7359999999999935</v>
      </c>
      <c r="M97" s="397">
        <f>E97-K97</f>
        <v>0.83160000000000012</v>
      </c>
      <c r="N97" s="420">
        <f>M97*F95</f>
        <v>33.264000000000003</v>
      </c>
      <c r="O97" s="9"/>
      <c r="P97" s="9"/>
      <c r="Q97" s="9"/>
      <c r="R97" s="9"/>
      <c r="S97" s="9"/>
      <c r="T97" s="9"/>
      <c r="U97" s="9"/>
      <c r="V97" s="9"/>
    </row>
    <row r="98" spans="2:22">
      <c r="B98" s="9"/>
      <c r="C98" s="9"/>
      <c r="D98" s="9"/>
      <c r="E98" s="9"/>
      <c r="F98" s="9"/>
      <c r="G98" s="211" t="s">
        <v>276</v>
      </c>
      <c r="H98" s="211"/>
      <c r="I98" s="211"/>
      <c r="J98" s="9"/>
      <c r="K98" s="216" t="s">
        <v>76</v>
      </c>
      <c r="L98" s="184"/>
      <c r="M98" s="9"/>
      <c r="N98" s="9"/>
      <c r="O98" s="9"/>
      <c r="P98" s="9"/>
      <c r="Q98" s="9"/>
      <c r="R98" s="9"/>
      <c r="S98" s="9"/>
      <c r="T98" s="9"/>
      <c r="U98" s="9"/>
      <c r="V98" s="9"/>
    </row>
    <row r="99" spans="2:22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</row>
    <row r="100" spans="2:22"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9"/>
      <c r="Q100" s="9"/>
      <c r="R100" s="9"/>
      <c r="S100" s="9"/>
      <c r="T100" s="9"/>
      <c r="U100" s="9"/>
      <c r="V100" s="9"/>
    </row>
  </sheetData>
  <phoneticPr fontId="24"/>
  <conditionalFormatting sqref="I14">
    <cfRule type="cellIs" dxfId="15" priority="12" operator="equal">
      <formula>FALSE</formula>
    </cfRule>
  </conditionalFormatting>
  <conditionalFormatting sqref="I20">
    <cfRule type="cellIs" dxfId="14" priority="11" operator="equal">
      <formula>FALSE</formula>
    </cfRule>
  </conditionalFormatting>
  <conditionalFormatting sqref="I29">
    <cfRule type="cellIs" dxfId="13" priority="10" operator="equal">
      <formula>FALSE</formula>
    </cfRule>
  </conditionalFormatting>
  <conditionalFormatting sqref="I35">
    <cfRule type="cellIs" dxfId="12" priority="9" operator="equal">
      <formula>FALSE</formula>
    </cfRule>
  </conditionalFormatting>
  <conditionalFormatting sqref="I44">
    <cfRule type="cellIs" dxfId="11" priority="8" operator="equal">
      <formula>FALSE</formula>
    </cfRule>
  </conditionalFormatting>
  <conditionalFormatting sqref="I50">
    <cfRule type="cellIs" dxfId="10" priority="7" operator="equal">
      <formula>FALSE</formula>
    </cfRule>
  </conditionalFormatting>
  <conditionalFormatting sqref="I59">
    <cfRule type="cellIs" dxfId="9" priority="6" operator="equal">
      <formula>FALSE</formula>
    </cfRule>
  </conditionalFormatting>
  <conditionalFormatting sqref="I65">
    <cfRule type="cellIs" dxfId="8" priority="5" operator="equal">
      <formula>FALSE</formula>
    </cfRule>
  </conditionalFormatting>
  <conditionalFormatting sqref="I74">
    <cfRule type="cellIs" dxfId="7" priority="4" operator="equal">
      <formula>FALSE</formula>
    </cfRule>
  </conditionalFormatting>
  <conditionalFormatting sqref="I80">
    <cfRule type="cellIs" dxfId="6" priority="3" operator="equal">
      <formula>FALSE</formula>
    </cfRule>
  </conditionalFormatting>
  <conditionalFormatting sqref="I89">
    <cfRule type="cellIs" dxfId="5" priority="2" operator="equal">
      <formula>FALSE</formula>
    </cfRule>
  </conditionalFormatting>
  <conditionalFormatting sqref="I95">
    <cfRule type="cellIs" dxfId="4" priority="1" operator="equal">
      <formula>FALSE</formula>
    </cfRule>
  </conditionalFormatting>
  <pageMargins left="0.23622047244094491" right="0.23622047244094491" top="0.74803149606299213" bottom="0.74803149606299213" header="0.31496062992125984" footer="0.31496062992125984"/>
  <pageSetup paperSize="9" scale="61" pageOrder="overThenDown" orientation="portrait" r:id="rId1"/>
  <headerFooter>
    <oddHeader>&amp;L&amp;F&amp;A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G971"/>
  <sheetViews>
    <sheetView zoomScale="80" zoomScaleNormal="80" workbookViewId="0">
      <selection activeCell="M9" sqref="M9"/>
    </sheetView>
  </sheetViews>
  <sheetFormatPr defaultRowHeight="13.5"/>
  <cols>
    <col min="1" max="1" width="2.375" style="11" customWidth="1"/>
    <col min="2" max="2" width="4.375" style="11" customWidth="1"/>
    <col min="3" max="3" width="5.75" style="11" customWidth="1"/>
    <col min="4" max="4" width="15.125" style="11" customWidth="1"/>
    <col min="5" max="5" width="9.625" style="11" customWidth="1"/>
    <col min="6" max="6" width="3.625" style="11" customWidth="1"/>
    <col min="7" max="7" width="9.625" style="11" customWidth="1"/>
    <col min="8" max="8" width="3.625" style="11" customWidth="1"/>
    <col min="9" max="12" width="9.625" style="11" customWidth="1"/>
    <col min="13" max="13" width="8.625" style="11" customWidth="1"/>
    <col min="14" max="14" width="2.625" style="11" customWidth="1"/>
    <col min="15" max="15" width="4.625" style="11" customWidth="1"/>
    <col min="16" max="19" width="8.625" style="11" customWidth="1"/>
    <col min="20" max="23" width="7.625" style="11" customWidth="1"/>
    <col min="24" max="24" width="2.375" style="11" customWidth="1"/>
    <col min="25" max="25" width="4.625" style="11" customWidth="1"/>
    <col min="26" max="29" width="8.625" style="11" customWidth="1"/>
    <col min="30" max="33" width="7.625" style="11" customWidth="1"/>
    <col min="34" max="16384" width="9" style="11"/>
  </cols>
  <sheetData>
    <row r="1" spans="2:33" ht="9" customHeight="1"/>
    <row r="2" spans="2:33" s="32" customFormat="1" ht="18.75">
      <c r="B2" s="33" t="str">
        <f>BkTitle1</f>
        <v>SRIMfit_dbg</v>
      </c>
      <c r="F2" s="61" t="str">
        <f>BkTitle2</f>
        <v>AddInマクロ版 : セル内の式 = srFuncName()</v>
      </c>
    </row>
    <row r="3" spans="2:33" ht="9" customHeight="1">
      <c r="M3" s="9"/>
      <c r="N3" s="9"/>
      <c r="S3" s="875" t="s">
        <v>344</v>
      </c>
      <c r="T3" s="875" t="s">
        <v>345</v>
      </c>
      <c r="U3" s="875"/>
      <c r="V3" s="875" t="s">
        <v>346</v>
      </c>
      <c r="W3" s="25"/>
      <c r="X3" s="25"/>
      <c r="Y3" s="25"/>
      <c r="Z3" s="25"/>
      <c r="AA3" s="25"/>
      <c r="AB3" s="25"/>
      <c r="AC3" s="875" t="s">
        <v>334</v>
      </c>
      <c r="AD3" s="875" t="s">
        <v>335</v>
      </c>
      <c r="AE3" s="875"/>
      <c r="AF3" s="875" t="s">
        <v>336</v>
      </c>
    </row>
    <row r="4" spans="2:33" ht="14.25">
      <c r="B4" s="210" t="s">
        <v>653</v>
      </c>
      <c r="G4" s="935" t="s">
        <v>37</v>
      </c>
      <c r="H4" s="9" t="s">
        <v>279</v>
      </c>
      <c r="K4" s="87" t="s">
        <v>44</v>
      </c>
      <c r="M4" s="9"/>
      <c r="N4" s="9"/>
      <c r="S4" s="575">
        <f>E17</f>
        <v>0.5</v>
      </c>
      <c r="T4" s="564">
        <f>T10</f>
        <v>0.5</v>
      </c>
      <c r="U4" s="564"/>
      <c r="V4" s="564">
        <f>V10</f>
        <v>20</v>
      </c>
      <c r="W4" s="564"/>
      <c r="AB4" s="988" t="s">
        <v>698</v>
      </c>
      <c r="AC4" s="983">
        <f>[1]!srMinE(D22)</f>
        <v>1.071427380952381E-5</v>
      </c>
      <c r="AD4" s="873">
        <f>AD10</f>
        <v>0.5</v>
      </c>
      <c r="AE4" s="564"/>
      <c r="AF4" s="873">
        <f>AF10</f>
        <v>20</v>
      </c>
      <c r="AG4" s="988"/>
    </row>
    <row r="5" spans="2:33">
      <c r="B5" s="9"/>
      <c r="C5" s="9" t="s">
        <v>250</v>
      </c>
      <c r="D5" s="9"/>
      <c r="E5" s="9"/>
      <c r="F5" s="9"/>
      <c r="G5" s="364" t="s">
        <v>284</v>
      </c>
      <c r="H5" s="9" t="s">
        <v>280</v>
      </c>
      <c r="I5" s="9"/>
      <c r="J5" s="9"/>
      <c r="K5" s="935" t="s">
        <v>46</v>
      </c>
      <c r="L5" s="936" t="s">
        <v>646</v>
      </c>
      <c r="M5" s="849"/>
      <c r="N5" s="9"/>
      <c r="W5" s="564"/>
      <c r="X5" s="36"/>
      <c r="AC5" s="984">
        <f>[1]!srMaxE(D22)</f>
        <v>1000</v>
      </c>
      <c r="AD5" s="874">
        <f>AD10</f>
        <v>0.5</v>
      </c>
      <c r="AE5" s="564"/>
      <c r="AF5" s="874">
        <f>AF10</f>
        <v>20</v>
      </c>
      <c r="AG5" s="564"/>
    </row>
    <row r="6" spans="2:33">
      <c r="B6" s="9"/>
      <c r="C6" s="9" t="s">
        <v>286</v>
      </c>
      <c r="D6" s="9"/>
      <c r="E6" s="9"/>
      <c r="F6" s="9"/>
      <c r="G6" s="363" t="s">
        <v>679</v>
      </c>
      <c r="H6" s="9" t="s">
        <v>678</v>
      </c>
      <c r="I6" s="9"/>
      <c r="J6" s="9"/>
      <c r="K6" s="178" t="s">
        <v>50</v>
      </c>
      <c r="M6" s="9"/>
      <c r="N6" s="9"/>
      <c r="P6" s="258" t="s">
        <v>337</v>
      </c>
      <c r="Q6" s="560" t="str">
        <f>D17</f>
        <v>srim40Ar_Au</v>
      </c>
      <c r="V6" s="568">
        <f>[1]!srInfoIonA(Q6)</f>
        <v>40</v>
      </c>
      <c r="W6" s="566"/>
      <c r="X6" s="353"/>
      <c r="Z6" s="258" t="s">
        <v>338</v>
      </c>
      <c r="AA6" s="560" t="str">
        <f>D22</f>
        <v>srim84Kr_Si</v>
      </c>
      <c r="AF6" s="568">
        <f>[1]!srInfoIonA(AA6)</f>
        <v>84</v>
      </c>
      <c r="AG6" s="566"/>
    </row>
    <row r="7" spans="2:33">
      <c r="C7" s="9" t="s">
        <v>287</v>
      </c>
      <c r="D7" s="9"/>
      <c r="E7" s="9"/>
      <c r="F7" s="9"/>
      <c r="G7" s="594"/>
      <c r="H7" s="217"/>
      <c r="I7" s="217"/>
      <c r="J7" s="217"/>
      <c r="K7" s="181" t="s">
        <v>51</v>
      </c>
      <c r="M7" s="9"/>
      <c r="N7" s="9"/>
      <c r="O7" s="36"/>
      <c r="P7" s="53" t="s">
        <v>339</v>
      </c>
      <c r="Q7" s="54" t="s">
        <v>340</v>
      </c>
      <c r="R7" s="54" t="s">
        <v>316</v>
      </c>
      <c r="S7" s="54" t="s">
        <v>333</v>
      </c>
      <c r="T7" s="54" t="s">
        <v>66</v>
      </c>
      <c r="U7" s="54"/>
      <c r="V7" s="533" t="s">
        <v>341</v>
      </c>
      <c r="W7" s="501"/>
      <c r="X7" s="353"/>
      <c r="Y7" s="36"/>
      <c r="Z7" s="53" t="s">
        <v>52</v>
      </c>
      <c r="AA7" s="54" t="s">
        <v>342</v>
      </c>
      <c r="AB7" s="54" t="s">
        <v>316</v>
      </c>
      <c r="AC7" s="54" t="s">
        <v>343</v>
      </c>
      <c r="AD7" s="54" t="s">
        <v>79</v>
      </c>
      <c r="AE7" s="54"/>
      <c r="AF7" s="533" t="s">
        <v>74</v>
      </c>
      <c r="AG7" s="501"/>
    </row>
    <row r="8" spans="2:33">
      <c r="B8" s="9" t="s">
        <v>325</v>
      </c>
      <c r="C8" s="9"/>
      <c r="D8" s="9"/>
      <c r="E8" s="9"/>
      <c r="F8" s="9"/>
      <c r="G8" s="552" t="s">
        <v>327</v>
      </c>
      <c r="H8" s="9" t="s">
        <v>328</v>
      </c>
      <c r="I8" s="9"/>
      <c r="J8" s="9"/>
      <c r="K8" s="183" t="s">
        <v>54</v>
      </c>
      <c r="M8" s="9"/>
      <c r="N8" s="9"/>
      <c r="O8" s="493"/>
      <c r="P8" s="344" t="s">
        <v>25</v>
      </c>
      <c r="Q8" s="345" t="s">
        <v>34</v>
      </c>
      <c r="R8" s="345" t="s">
        <v>34</v>
      </c>
      <c r="S8" s="345" t="s">
        <v>0</v>
      </c>
      <c r="T8" s="345" t="s">
        <v>0</v>
      </c>
      <c r="U8" s="345"/>
      <c r="V8" s="543" t="s">
        <v>68</v>
      </c>
      <c r="W8" s="557"/>
      <c r="X8" s="35"/>
      <c r="Y8" s="493"/>
      <c r="Z8" s="344" t="s">
        <v>25</v>
      </c>
      <c r="AA8" s="345" t="s">
        <v>34</v>
      </c>
      <c r="AB8" s="345" t="s">
        <v>34</v>
      </c>
      <c r="AC8" s="345" t="s">
        <v>0</v>
      </c>
      <c r="AD8" s="345" t="s">
        <v>0</v>
      </c>
      <c r="AE8" s="345"/>
      <c r="AF8" s="543" t="s">
        <v>68</v>
      </c>
      <c r="AG8" s="557"/>
    </row>
    <row r="9" spans="2:33">
      <c r="B9" s="9"/>
      <c r="C9" s="9" t="s">
        <v>326</v>
      </c>
      <c r="D9" s="9"/>
      <c r="E9" s="9"/>
      <c r="F9" s="9"/>
      <c r="G9" s="9"/>
      <c r="H9" s="9"/>
      <c r="I9" s="9"/>
      <c r="J9" s="9"/>
      <c r="K9" s="337" t="s">
        <v>57</v>
      </c>
      <c r="M9" s="9"/>
      <c r="N9" s="9"/>
      <c r="O9" s="561" t="s">
        <v>331</v>
      </c>
      <c r="P9" s="563">
        <f>[1]!srIxEmin(Q$6)</f>
        <v>20</v>
      </c>
      <c r="Q9" s="87"/>
      <c r="R9" s="57" t="s">
        <v>329</v>
      </c>
      <c r="S9" s="87"/>
      <c r="T9" s="569" t="s">
        <v>314</v>
      </c>
      <c r="U9" s="571"/>
      <c r="V9" s="533" t="s">
        <v>315</v>
      </c>
      <c r="W9" s="501"/>
      <c r="X9" s="35"/>
      <c r="Y9" s="565" t="s">
        <v>331</v>
      </c>
      <c r="Z9" s="563">
        <f>[1]!srIxEmin(AA$6)</f>
        <v>20</v>
      </c>
      <c r="AA9" s="87"/>
      <c r="AB9" s="91" t="s">
        <v>329</v>
      </c>
      <c r="AC9" s="87"/>
      <c r="AD9" s="569" t="s">
        <v>314</v>
      </c>
      <c r="AE9" s="571"/>
      <c r="AF9" s="533" t="s">
        <v>315</v>
      </c>
      <c r="AG9" s="501"/>
    </row>
    <row r="10" spans="2:33" ht="14.25">
      <c r="B10" s="9"/>
      <c r="C10" s="185"/>
      <c r="D10" s="334" t="s">
        <v>707</v>
      </c>
      <c r="E10" s="201"/>
      <c r="F10" s="169"/>
      <c r="G10" s="595" t="s">
        <v>357</v>
      </c>
      <c r="H10" s="169"/>
      <c r="I10" s="169"/>
      <c r="J10" s="169"/>
      <c r="K10" s="9"/>
      <c r="L10" s="9"/>
      <c r="O10" s="71" t="s">
        <v>330</v>
      </c>
      <c r="P10" s="562">
        <f>[1]!srIxEmax(Q6)</f>
        <v>228</v>
      </c>
      <c r="Q10" s="500"/>
      <c r="R10" s="558">
        <f>G22</f>
        <v>5</v>
      </c>
      <c r="S10" s="500"/>
      <c r="T10" s="570">
        <f>K17</f>
        <v>0.5</v>
      </c>
      <c r="U10" s="567" t="s">
        <v>332</v>
      </c>
      <c r="V10" s="574">
        <f>L17</f>
        <v>20</v>
      </c>
      <c r="W10" s="567" t="s">
        <v>332</v>
      </c>
      <c r="X10" s="35"/>
      <c r="Y10" s="71" t="s">
        <v>330</v>
      </c>
      <c r="Z10" s="562">
        <f>[1]!srIxEmax(AA6)</f>
        <v>228</v>
      </c>
      <c r="AA10" s="500"/>
      <c r="AB10" s="558">
        <f>G17</f>
        <v>5</v>
      </c>
      <c r="AC10" s="500"/>
      <c r="AD10" s="570">
        <f>K17</f>
        <v>0.5</v>
      </c>
      <c r="AE10" s="567" t="s">
        <v>332</v>
      </c>
      <c r="AF10" s="574">
        <f>L17</f>
        <v>20</v>
      </c>
      <c r="AG10" s="567" t="s">
        <v>332</v>
      </c>
    </row>
    <row r="11" spans="2:33" ht="14.25" thickBot="1">
      <c r="B11" s="9"/>
      <c r="C11" s="9"/>
      <c r="D11" s="170"/>
      <c r="E11" s="169"/>
      <c r="F11" s="9"/>
      <c r="G11" s="973">
        <f>[1]!srE2Rng(D17,E17)</f>
        <v>3</v>
      </c>
      <c r="H11" s="169"/>
      <c r="I11" s="169"/>
      <c r="J11" s="169"/>
      <c r="K11" s="9"/>
      <c r="L11" s="151"/>
      <c r="M11" s="9"/>
      <c r="N11" s="9"/>
      <c r="O11" s="71">
        <f>P9</f>
        <v>20</v>
      </c>
      <c r="P11" s="556">
        <f>[1]!srIx2Val(Q$6,O11,1)</f>
        <v>9.9999750000000008E-6</v>
      </c>
      <c r="Q11" s="559">
        <f>[1]!srIx2Val(Q$6,O11,5)</f>
        <v>6.9999999999999999E-4</v>
      </c>
      <c r="R11" s="554">
        <f t="shared" ref="R11:R74" si="0">Q11-R$10</f>
        <v>-4.9992999999999999</v>
      </c>
      <c r="S11" s="465">
        <f>IF(R11&lt;=0,0,[1]!srRng2E(Q$6,R11))</f>
        <v>0</v>
      </c>
      <c r="T11" s="482" t="e">
        <f>IF((R11&lt;=0),NA(),P11-S11)</f>
        <v>#N/A</v>
      </c>
      <c r="U11" s="466">
        <f>IF((R11&lt;=0),P11-S11,NA())</f>
        <v>9.9999750000000008E-6</v>
      </c>
      <c r="V11" s="466" t="e">
        <f>IF((R11&lt;0),NA(),T11*V$6)</f>
        <v>#N/A</v>
      </c>
      <c r="W11" s="466">
        <f>IF((R11&lt;0),U11*V$6,NA())</f>
        <v>3.9999900000000006E-4</v>
      </c>
      <c r="X11" s="35"/>
      <c r="Y11" s="71">
        <f>Z9</f>
        <v>20</v>
      </c>
      <c r="Z11" s="556">
        <f>[1]!srIx2Val(AA$6,Y11,1)</f>
        <v>1.071427380952381E-5</v>
      </c>
      <c r="AA11" s="559">
        <f>[1]!srIx2Val(AA$6,Y11,5)</f>
        <v>3.3E-3</v>
      </c>
      <c r="AB11" s="554">
        <f>AA11-AB$10</f>
        <v>-4.9966999999999997</v>
      </c>
      <c r="AC11" s="465">
        <f>IF(AB11&lt;=0,0,[1]!srRng2E(AA$6,AB11))</f>
        <v>0</v>
      </c>
      <c r="AD11" s="466" t="e">
        <f>IF((AB11&lt;=0),NA(),Z11-AC11)</f>
        <v>#N/A</v>
      </c>
      <c r="AE11" s="466">
        <f>IF((AB11&lt;=0),Z11-AC11,NA())</f>
        <v>1.071427380952381E-5</v>
      </c>
      <c r="AF11" s="466" t="e">
        <f>IF((AB11&lt;0),NA(),AD11*AF$6)</f>
        <v>#N/A</v>
      </c>
      <c r="AG11" s="466">
        <f>IF((AB11&lt;0),AE11*AF$6,NA())</f>
        <v>8.9999900000000007E-4</v>
      </c>
    </row>
    <row r="12" spans="2:33" s="9" customFormat="1" ht="12">
      <c r="C12" s="598" t="s">
        <v>354</v>
      </c>
      <c r="D12" s="400"/>
      <c r="E12" s="584" t="s">
        <v>352</v>
      </c>
      <c r="F12" s="378"/>
      <c r="G12" s="584"/>
      <c r="H12" s="401"/>
      <c r="I12" s="592" t="s">
        <v>356</v>
      </c>
      <c r="J12" s="402"/>
      <c r="K12" s="907" t="s">
        <v>647</v>
      </c>
      <c r="L12" s="479" t="s">
        <v>648</v>
      </c>
      <c r="O12" s="35">
        <f>O11+1</f>
        <v>21</v>
      </c>
      <c r="P12" s="556">
        <f>[1]!srIx2Val(Q$6,O12,1)</f>
        <v>1.1249975000000001E-5</v>
      </c>
      <c r="Q12" s="559">
        <f>[1]!srIx2Val(Q$6,O12,5)</f>
        <v>8.0000000000000004E-4</v>
      </c>
      <c r="R12" s="554">
        <f t="shared" si="0"/>
        <v>-4.9992000000000001</v>
      </c>
      <c r="S12" s="465">
        <f>IF(R12&lt;=0,0,[1]!srRng2E(Q$6,R12))</f>
        <v>0</v>
      </c>
      <c r="T12" s="482" t="e">
        <f t="shared" ref="T12:T75" si="1">IF((R12&lt;=0),NA(),P12-S12)</f>
        <v>#N/A</v>
      </c>
      <c r="U12" s="466">
        <f t="shared" ref="U12:U75" si="2">IF((R12&lt;=0),P12-S12,NA())</f>
        <v>1.1249975000000001E-5</v>
      </c>
      <c r="V12" s="466" t="e">
        <f t="shared" ref="V12:V75" si="3">IF((R12&lt;0),NA(),T12*V$6)</f>
        <v>#N/A</v>
      </c>
      <c r="W12" s="466">
        <f t="shared" ref="W12:W75" si="4">IF((R12&lt;0),U12*V$6,NA())</f>
        <v>4.4999900000000003E-4</v>
      </c>
      <c r="X12" s="35"/>
      <c r="Y12" s="35">
        <f t="shared" ref="Y12:Y21" si="5">Y11+1</f>
        <v>21</v>
      </c>
      <c r="Z12" s="556">
        <f>[1]!srIx2Val(AA$6,Y12,1)</f>
        <v>1.1904750000000002E-5</v>
      </c>
      <c r="AA12" s="559">
        <f>[1]!srIx2Val(AA$6,Y12,5)</f>
        <v>3.5000000000000005E-3</v>
      </c>
      <c r="AB12" s="554">
        <f t="shared" ref="AB12:AB75" si="6">AA12-AB$10</f>
        <v>-4.9965000000000002</v>
      </c>
      <c r="AC12" s="465">
        <f>IF(AB12&lt;=0,0,[1]!srRng2E(AA$6,AB12))</f>
        <v>0</v>
      </c>
      <c r="AD12" s="466" t="e">
        <f t="shared" ref="AD12:AD75" si="7">IF((AB12&lt;=0),NA(),Z12-AC12)</f>
        <v>#N/A</v>
      </c>
      <c r="AE12" s="466">
        <f t="shared" ref="AE12:AE75" si="8">IF((AB12&lt;=0),Z12-AC12,NA())</f>
        <v>1.1904750000000002E-5</v>
      </c>
      <c r="AF12" s="466" t="e">
        <f t="shared" ref="AF12:AF75" si="9">IF((AB12&lt;0),NA(),AD12*AF$6)</f>
        <v>#N/A</v>
      </c>
      <c r="AG12" s="466">
        <f t="shared" ref="AG12:AG75" si="10">IF((AB12&lt;0),AE12*AF$6,NA())</f>
        <v>9.9999900000000011E-4</v>
      </c>
    </row>
    <row r="13" spans="2:33" s="9" customFormat="1" ht="12">
      <c r="C13" s="588">
        <f>[1]!srMaxLETt(D17,2)/1000</f>
        <v>14.079229959999999</v>
      </c>
      <c r="D13" s="589">
        <f>[1]!srMaxLETt2E(D17)</f>
        <v>1.5</v>
      </c>
      <c r="E13" s="593">
        <f>[1]!srRng2E(D17,G17)</f>
        <v>1.1631944444444444</v>
      </c>
      <c r="F13" s="371"/>
      <c r="G13" s="576">
        <f>G17</f>
        <v>5</v>
      </c>
      <c r="H13" s="591" t="s">
        <v>233</v>
      </c>
      <c r="I13" s="118">
        <f>[1]!srEnew(D17,E13,G13)</f>
        <v>0</v>
      </c>
      <c r="J13" s="202">
        <f>I13*F14</f>
        <v>0</v>
      </c>
      <c r="K13" s="373">
        <f>L13/F14</f>
        <v>1.1631944444444444</v>
      </c>
      <c r="L13" s="385">
        <f>(E13-I13)*F14</f>
        <v>46.527777777777779</v>
      </c>
      <c r="O13" s="35">
        <f t="shared" ref="O13:O76" si="11">O12+1</f>
        <v>22</v>
      </c>
      <c r="P13" s="556">
        <f>[1]!srIx2Val(Q$6,O13,1)</f>
        <v>1.2499975000000001E-5</v>
      </c>
      <c r="Q13" s="559">
        <f>[1]!srIx2Val(Q$6,O13,5)</f>
        <v>8.0000000000000004E-4</v>
      </c>
      <c r="R13" s="554">
        <f t="shared" si="0"/>
        <v>-4.9992000000000001</v>
      </c>
      <c r="S13" s="465">
        <f>IF(R13&lt;=0,0,[1]!srRng2E(Q$6,R13))</f>
        <v>0</v>
      </c>
      <c r="T13" s="482" t="e">
        <f t="shared" si="1"/>
        <v>#N/A</v>
      </c>
      <c r="U13" s="466">
        <f t="shared" si="2"/>
        <v>1.2499975000000001E-5</v>
      </c>
      <c r="V13" s="466" t="e">
        <f t="shared" si="3"/>
        <v>#N/A</v>
      </c>
      <c r="W13" s="466">
        <f t="shared" si="4"/>
        <v>4.9999899999999999E-4</v>
      </c>
      <c r="X13" s="35"/>
      <c r="Y13" s="35">
        <f t="shared" si="5"/>
        <v>22</v>
      </c>
      <c r="Z13" s="556">
        <f>[1]!srIx2Val(AA$6,Y13,1)</f>
        <v>1.3095238095238096E-5</v>
      </c>
      <c r="AA13" s="559">
        <f>[1]!srIx2Val(AA$6,Y13,5)</f>
        <v>3.6999999999999997E-3</v>
      </c>
      <c r="AB13" s="554">
        <f t="shared" si="6"/>
        <v>-4.9962999999999997</v>
      </c>
      <c r="AC13" s="465">
        <f>IF(AB13&lt;=0,0,[1]!srRng2E(AA$6,AB13))</f>
        <v>0</v>
      </c>
      <c r="AD13" s="466" t="e">
        <f t="shared" si="7"/>
        <v>#N/A</v>
      </c>
      <c r="AE13" s="466">
        <f t="shared" si="8"/>
        <v>1.3095238095238096E-5</v>
      </c>
      <c r="AF13" s="466" t="e">
        <f t="shared" si="9"/>
        <v>#N/A</v>
      </c>
      <c r="AG13" s="466">
        <f t="shared" si="10"/>
        <v>1.1000000000000001E-3</v>
      </c>
    </row>
    <row r="14" spans="2:33">
      <c r="B14" s="9"/>
      <c r="C14" s="386"/>
      <c r="D14" s="112"/>
      <c r="E14" s="367" t="str">
        <f>[1]!srElmNm([1]!srInfoIonZ(D17))&amp;"-"</f>
        <v>Ar-</v>
      </c>
      <c r="F14" s="172">
        <f>[1]!srInfoIonA(D17)</f>
        <v>40</v>
      </c>
      <c r="G14" s="186" t="str">
        <f>[1]!srInfoTrgName(D17)</f>
        <v>Au</v>
      </c>
      <c r="H14" s="187"/>
      <c r="I14" s="362" t="str">
        <f>IF((I17&lt;=0),"Stopped","")</f>
        <v>Stopped</v>
      </c>
      <c r="J14" s="595"/>
      <c r="K14" s="893"/>
      <c r="L14" s="891"/>
      <c r="M14" s="9"/>
      <c r="N14" s="9"/>
      <c r="O14" s="35">
        <f t="shared" si="11"/>
        <v>23</v>
      </c>
      <c r="P14" s="556">
        <f>[1]!srIx2Val(Q$6,O14,1)</f>
        <v>1.3749975E-5</v>
      </c>
      <c r="Q14" s="559">
        <f>[1]!srIx2Val(Q$6,O14,5)</f>
        <v>8.0000000000000004E-4</v>
      </c>
      <c r="R14" s="554">
        <f t="shared" si="0"/>
        <v>-4.9992000000000001</v>
      </c>
      <c r="S14" s="465">
        <f>IF(R14&lt;=0,0,[1]!srRng2E(Q$6,R14))</f>
        <v>0</v>
      </c>
      <c r="T14" s="482" t="e">
        <f t="shared" si="1"/>
        <v>#N/A</v>
      </c>
      <c r="U14" s="466">
        <f t="shared" si="2"/>
        <v>1.3749975E-5</v>
      </c>
      <c r="V14" s="466" t="e">
        <f t="shared" si="3"/>
        <v>#N/A</v>
      </c>
      <c r="W14" s="466">
        <f t="shared" si="4"/>
        <v>5.4999900000000002E-4</v>
      </c>
      <c r="X14" s="35"/>
      <c r="Y14" s="35">
        <f t="shared" si="5"/>
        <v>23</v>
      </c>
      <c r="Z14" s="556">
        <f>[1]!srIx2Val(AA$6,Y14,1)</f>
        <v>1.4285714285714284E-5</v>
      </c>
      <c r="AA14" s="559">
        <f>[1]!srIx2Val(AA$6,Y14,5)</f>
        <v>3.8E-3</v>
      </c>
      <c r="AB14" s="554">
        <f t="shared" si="6"/>
        <v>-4.9962</v>
      </c>
      <c r="AC14" s="465">
        <f>IF(AB14&lt;=0,0,[1]!srRng2E(AA$6,AB14))</f>
        <v>0</v>
      </c>
      <c r="AD14" s="466" t="e">
        <f t="shared" si="7"/>
        <v>#N/A</v>
      </c>
      <c r="AE14" s="466">
        <f t="shared" si="8"/>
        <v>1.4285714285714284E-5</v>
      </c>
      <c r="AF14" s="466" t="e">
        <f t="shared" si="9"/>
        <v>#N/A</v>
      </c>
      <c r="AG14" s="466">
        <f t="shared" si="10"/>
        <v>1.1999999999999999E-3</v>
      </c>
    </row>
    <row r="15" spans="2:33">
      <c r="B15" s="9"/>
      <c r="C15" s="388"/>
      <c r="D15" s="360" t="s">
        <v>277</v>
      </c>
      <c r="E15" s="368" t="s">
        <v>42</v>
      </c>
      <c r="F15" s="169"/>
      <c r="G15" s="489" t="s">
        <v>63</v>
      </c>
      <c r="H15" s="169"/>
      <c r="I15" s="190" t="s">
        <v>64</v>
      </c>
      <c r="J15" s="91" t="s">
        <v>65</v>
      </c>
      <c r="K15" s="91" t="s">
        <v>66</v>
      </c>
      <c r="L15" s="892" t="s">
        <v>67</v>
      </c>
      <c r="M15" s="9"/>
      <c r="N15" s="9"/>
      <c r="O15" s="35">
        <f t="shared" si="11"/>
        <v>24</v>
      </c>
      <c r="P15" s="556">
        <f>[1]!srIx2Val(Q$6,O15,1)</f>
        <v>1.4999975E-5</v>
      </c>
      <c r="Q15" s="559">
        <f>[1]!srIx2Val(Q$6,O15,5)</f>
        <v>8.9999999999999998E-4</v>
      </c>
      <c r="R15" s="554">
        <f t="shared" si="0"/>
        <v>-4.9991000000000003</v>
      </c>
      <c r="S15" s="465">
        <f>IF(R15&lt;=0,0,[1]!srRng2E(Q$6,R15))</f>
        <v>0</v>
      </c>
      <c r="T15" s="482" t="e">
        <f t="shared" si="1"/>
        <v>#N/A</v>
      </c>
      <c r="U15" s="466">
        <f t="shared" si="2"/>
        <v>1.4999975E-5</v>
      </c>
      <c r="V15" s="466" t="e">
        <f t="shared" si="3"/>
        <v>#N/A</v>
      </c>
      <c r="W15" s="466">
        <f t="shared" si="4"/>
        <v>5.9999900000000004E-4</v>
      </c>
      <c r="X15" s="35"/>
      <c r="Y15" s="35">
        <f t="shared" si="5"/>
        <v>24</v>
      </c>
      <c r="Z15" s="556">
        <f>[1]!srIx2Val(AA$6,Y15,1)</f>
        <v>1.5476190476190476E-5</v>
      </c>
      <c r="AA15" s="559">
        <f>[1]!srIx2Val(AA$6,Y15,5)</f>
        <v>4.0000000000000001E-3</v>
      </c>
      <c r="AB15" s="554">
        <f t="shared" si="6"/>
        <v>-4.9960000000000004</v>
      </c>
      <c r="AC15" s="465">
        <f>IF(AB15&lt;=0,0,[1]!srRng2E(AA$6,AB15))</f>
        <v>0</v>
      </c>
      <c r="AD15" s="466" t="e">
        <f t="shared" si="7"/>
        <v>#N/A</v>
      </c>
      <c r="AE15" s="466">
        <f t="shared" si="8"/>
        <v>1.5476190476190476E-5</v>
      </c>
      <c r="AF15" s="466" t="e">
        <f t="shared" si="9"/>
        <v>#N/A</v>
      </c>
      <c r="AG15" s="466">
        <f t="shared" si="10"/>
        <v>1.2999999999999999E-3</v>
      </c>
    </row>
    <row r="16" spans="2:33">
      <c r="B16" s="9"/>
      <c r="C16" s="388"/>
      <c r="D16" s="356">
        <f>E17*F14</f>
        <v>20</v>
      </c>
      <c r="E16" s="368" t="s">
        <v>0</v>
      </c>
      <c r="F16" s="169"/>
      <c r="G16" s="189" t="s">
        <v>45</v>
      </c>
      <c r="H16" s="169"/>
      <c r="I16" s="190" t="s">
        <v>0</v>
      </c>
      <c r="J16" s="91" t="s">
        <v>68</v>
      </c>
      <c r="K16" s="91" t="s">
        <v>0</v>
      </c>
      <c r="L16" s="892" t="s">
        <v>68</v>
      </c>
      <c r="M16" s="9"/>
      <c r="N16" s="9"/>
      <c r="O16" s="35">
        <f t="shared" si="11"/>
        <v>25</v>
      </c>
      <c r="P16" s="556">
        <f>[1]!srIx2Val(Q$6,O16,1)</f>
        <v>1.6249975E-5</v>
      </c>
      <c r="Q16" s="559">
        <f>[1]!srIx2Val(Q$6,O16,5)</f>
        <v>8.9999999999999998E-4</v>
      </c>
      <c r="R16" s="554">
        <f t="shared" si="0"/>
        <v>-4.9991000000000003</v>
      </c>
      <c r="S16" s="465">
        <f>IF(R16&lt;=0,0,[1]!srRng2E(Q$6,R16))</f>
        <v>0</v>
      </c>
      <c r="T16" s="482" t="e">
        <f t="shared" si="1"/>
        <v>#N/A</v>
      </c>
      <c r="U16" s="466">
        <f t="shared" si="2"/>
        <v>1.6249975E-5</v>
      </c>
      <c r="V16" s="466" t="e">
        <f t="shared" si="3"/>
        <v>#N/A</v>
      </c>
      <c r="W16" s="466">
        <f t="shared" si="4"/>
        <v>6.4999900000000006E-4</v>
      </c>
      <c r="X16" s="36"/>
      <c r="Y16" s="35">
        <f t="shared" si="5"/>
        <v>25</v>
      </c>
      <c r="Z16" s="556">
        <f>[1]!srIx2Val(AA$6,Y16,1)</f>
        <v>1.6666666666666667E-5</v>
      </c>
      <c r="AA16" s="559">
        <f>[1]!srIx2Val(AA$6,Y16,5)</f>
        <v>4.1000000000000003E-3</v>
      </c>
      <c r="AB16" s="554">
        <f t="shared" si="6"/>
        <v>-4.9958999999999998</v>
      </c>
      <c r="AC16" s="465">
        <f>IF(AB16&lt;=0,0,[1]!srRng2E(AA$6,AB16))</f>
        <v>0</v>
      </c>
      <c r="AD16" s="466" t="e">
        <f t="shared" si="7"/>
        <v>#N/A</v>
      </c>
      <c r="AE16" s="466">
        <f t="shared" si="8"/>
        <v>1.6666666666666667E-5</v>
      </c>
      <c r="AF16" s="466" t="e">
        <f t="shared" si="9"/>
        <v>#N/A</v>
      </c>
      <c r="AG16" s="466">
        <f t="shared" si="10"/>
        <v>1.4E-3</v>
      </c>
    </row>
    <row r="17" spans="2:33" ht="14.25" thickBot="1">
      <c r="B17" s="9"/>
      <c r="C17" s="579" t="s">
        <v>47</v>
      </c>
      <c r="D17" s="895" t="s">
        <v>716</v>
      </c>
      <c r="E17" s="933">
        <v>0.5</v>
      </c>
      <c r="F17" s="177" t="s">
        <v>49</v>
      </c>
      <c r="G17" s="934">
        <v>5</v>
      </c>
      <c r="H17" s="177" t="s">
        <v>49</v>
      </c>
      <c r="I17" s="499">
        <f>[1]!srEnew(D17,E17,G17)</f>
        <v>0</v>
      </c>
      <c r="J17" s="890">
        <f>I17*F14</f>
        <v>0</v>
      </c>
      <c r="K17" s="915">
        <f>E17-I17</f>
        <v>0.5</v>
      </c>
      <c r="L17" s="982">
        <f>K17*F14</f>
        <v>20</v>
      </c>
      <c r="M17" s="9"/>
      <c r="O17" s="35">
        <f t="shared" si="11"/>
        <v>26</v>
      </c>
      <c r="P17" s="556">
        <f>[1]!srIx2Val(Q$6,O17,1)</f>
        <v>1.7499975E-5</v>
      </c>
      <c r="Q17" s="559">
        <f>[1]!srIx2Val(Q$6,O17,5)</f>
        <v>8.9999999999999998E-4</v>
      </c>
      <c r="R17" s="554">
        <f t="shared" si="0"/>
        <v>-4.9991000000000003</v>
      </c>
      <c r="S17" s="465">
        <f>IF(R17&lt;=0,0,[1]!srRng2E(Q$6,R17))</f>
        <v>0</v>
      </c>
      <c r="T17" s="482" t="e">
        <f t="shared" si="1"/>
        <v>#N/A</v>
      </c>
      <c r="U17" s="466">
        <f t="shared" si="2"/>
        <v>1.7499975E-5</v>
      </c>
      <c r="V17" s="466" t="e">
        <f t="shared" si="3"/>
        <v>#N/A</v>
      </c>
      <c r="W17" s="466">
        <f t="shared" si="4"/>
        <v>6.9999899999999998E-4</v>
      </c>
      <c r="X17" s="36"/>
      <c r="Y17" s="35">
        <f t="shared" si="5"/>
        <v>26</v>
      </c>
      <c r="Z17" s="556">
        <f>[1]!srIx2Val(AA$6,Y17,1)</f>
        <v>1.7857142857142858E-5</v>
      </c>
      <c r="AA17" s="559">
        <f>[1]!srIx2Val(AA$6,Y17,5)</f>
        <v>4.2000000000000006E-3</v>
      </c>
      <c r="AB17" s="554">
        <f t="shared" si="6"/>
        <v>-4.9958</v>
      </c>
      <c r="AC17" s="465">
        <f>IF(AB17&lt;=0,0,[1]!srRng2E(AA$6,AB17))</f>
        <v>0</v>
      </c>
      <c r="AD17" s="466" t="e">
        <f t="shared" si="7"/>
        <v>#N/A</v>
      </c>
      <c r="AE17" s="466">
        <f t="shared" si="8"/>
        <v>1.7857142857142858E-5</v>
      </c>
      <c r="AF17" s="466" t="e">
        <f t="shared" si="9"/>
        <v>#N/A</v>
      </c>
      <c r="AG17" s="466">
        <f t="shared" si="10"/>
        <v>1.5E-3</v>
      </c>
    </row>
    <row r="18" spans="2:33" s="70" customFormat="1">
      <c r="B18" s="217"/>
      <c r="C18" s="597" t="s">
        <v>353</v>
      </c>
      <c r="D18" s="868"/>
      <c r="E18" s="908" t="s">
        <v>651</v>
      </c>
      <c r="F18" s="378"/>
      <c r="G18" s="590"/>
      <c r="H18" s="381"/>
      <c r="I18" s="886" t="s">
        <v>355</v>
      </c>
      <c r="J18" s="869"/>
      <c r="K18" s="909" t="s">
        <v>649</v>
      </c>
      <c r="L18" s="910" t="s">
        <v>650</v>
      </c>
      <c r="M18" s="35"/>
      <c r="O18" s="35">
        <f t="shared" si="11"/>
        <v>27</v>
      </c>
      <c r="P18" s="556">
        <f>[1]!srIx2Val(Q$6,O18,1)</f>
        <v>1.9999975E-5</v>
      </c>
      <c r="Q18" s="559">
        <f>[1]!srIx2Val(Q$6,O18,5)</f>
        <v>1E-3</v>
      </c>
      <c r="R18" s="554">
        <f t="shared" si="0"/>
        <v>-4.9989999999999997</v>
      </c>
      <c r="S18" s="465">
        <f>IF(R18&lt;=0,0,[1]!srRng2E(Q$6,R18))</f>
        <v>0</v>
      </c>
      <c r="T18" s="482" t="e">
        <f t="shared" si="1"/>
        <v>#N/A</v>
      </c>
      <c r="U18" s="466">
        <f t="shared" si="2"/>
        <v>1.9999975E-5</v>
      </c>
      <c r="V18" s="466" t="e">
        <f t="shared" si="3"/>
        <v>#N/A</v>
      </c>
      <c r="W18" s="466">
        <f t="shared" si="4"/>
        <v>7.9999900000000002E-4</v>
      </c>
      <c r="X18" s="36"/>
      <c r="Y18" s="35">
        <f t="shared" si="5"/>
        <v>27</v>
      </c>
      <c r="Z18" s="556">
        <f>[1]!srIx2Val(AA$6,Y18,1)</f>
        <v>1.9047619047619049E-5</v>
      </c>
      <c r="AA18" s="559">
        <f>[1]!srIx2Val(AA$6,Y18,5)</f>
        <v>4.3999999999999994E-3</v>
      </c>
      <c r="AB18" s="554">
        <f t="shared" si="6"/>
        <v>-4.9955999999999996</v>
      </c>
      <c r="AC18" s="465">
        <f>IF(AB18&lt;=0,0,[1]!srRng2E(AA$6,AB18))</f>
        <v>0</v>
      </c>
      <c r="AD18" s="466" t="e">
        <f t="shared" si="7"/>
        <v>#N/A</v>
      </c>
      <c r="AE18" s="466">
        <f t="shared" si="8"/>
        <v>1.9047619047619049E-5</v>
      </c>
      <c r="AF18" s="466" t="e">
        <f t="shared" si="9"/>
        <v>#N/A</v>
      </c>
      <c r="AG18" s="466">
        <f t="shared" si="10"/>
        <v>1.6000000000000001E-3</v>
      </c>
    </row>
    <row r="19" spans="2:33" s="70" customFormat="1">
      <c r="B19" s="217"/>
      <c r="C19" s="866">
        <f>[1]!srMaxLETt(D22,2)/1000</f>
        <v>9.5161246974000004</v>
      </c>
      <c r="D19" s="885">
        <f>[1]!srMaxLETt2E(D22)</f>
        <v>2.1428571428571428</v>
      </c>
      <c r="E19" s="939">
        <f>[1]!srRng2E(D22,G22)</f>
        <v>0.15724206349206349</v>
      </c>
      <c r="F19" s="461"/>
      <c r="G19" s="668">
        <f>G22</f>
        <v>5</v>
      </c>
      <c r="H19" s="867" t="s">
        <v>233</v>
      </c>
      <c r="I19" s="858">
        <f>[1]!srEnew(D22,E19,G19)</f>
        <v>0</v>
      </c>
      <c r="J19" s="876">
        <f>I19*F20</f>
        <v>0</v>
      </c>
      <c r="K19" s="981">
        <f>L19/F20</f>
        <v>0.15724206349206349</v>
      </c>
      <c r="L19" s="980">
        <f>(E19-I19)*F20</f>
        <v>13.208333333333332</v>
      </c>
      <c r="M19" s="35"/>
      <c r="N19" s="217"/>
      <c r="O19" s="35">
        <f t="shared" si="11"/>
        <v>28</v>
      </c>
      <c r="P19" s="556">
        <f>[1]!srIx2Val(Q$6,O19,1)</f>
        <v>2.2499975000000003E-5</v>
      </c>
      <c r="Q19" s="559">
        <f>[1]!srIx2Val(Q$6,O19,5)</f>
        <v>1.0999999999999998E-3</v>
      </c>
      <c r="R19" s="554">
        <f t="shared" si="0"/>
        <v>-4.9988999999999999</v>
      </c>
      <c r="S19" s="465">
        <f>IF(R19&lt;=0,0,[1]!srRng2E(Q$6,R19))</f>
        <v>0</v>
      </c>
      <c r="T19" s="482" t="e">
        <f t="shared" si="1"/>
        <v>#N/A</v>
      </c>
      <c r="U19" s="466">
        <f t="shared" si="2"/>
        <v>2.2499975000000003E-5</v>
      </c>
      <c r="V19" s="466" t="e">
        <f t="shared" si="3"/>
        <v>#N/A</v>
      </c>
      <c r="W19" s="466">
        <f t="shared" si="4"/>
        <v>8.9999900000000007E-4</v>
      </c>
      <c r="X19" s="36"/>
      <c r="Y19" s="35">
        <f t="shared" si="5"/>
        <v>28</v>
      </c>
      <c r="Z19" s="556">
        <f>[1]!srIx2Val(AA$6,Y19,1)</f>
        <v>2.0238095238095237E-5</v>
      </c>
      <c r="AA19" s="559">
        <f>[1]!srIx2Val(AA$6,Y19,5)</f>
        <v>4.4999999999999997E-3</v>
      </c>
      <c r="AB19" s="554">
        <f t="shared" si="6"/>
        <v>-4.9954999999999998</v>
      </c>
      <c r="AC19" s="465">
        <f>IF(AB19&lt;=0,0,[1]!srRng2E(AA$6,AB19))</f>
        <v>0</v>
      </c>
      <c r="AD19" s="466" t="e">
        <f t="shared" si="7"/>
        <v>#N/A</v>
      </c>
      <c r="AE19" s="466">
        <f t="shared" si="8"/>
        <v>2.0238095238095237E-5</v>
      </c>
      <c r="AF19" s="466" t="e">
        <f t="shared" si="9"/>
        <v>#N/A</v>
      </c>
      <c r="AG19" s="466">
        <f t="shared" si="10"/>
        <v>1.6999999999999999E-3</v>
      </c>
    </row>
    <row r="20" spans="2:33">
      <c r="B20" s="9"/>
      <c r="C20" s="388"/>
      <c r="D20" s="360" t="s">
        <v>278</v>
      </c>
      <c r="E20" s="887" t="str">
        <f>[1]!srElmNm([1]!srInfoIonZ(D22))&amp;"-"</f>
        <v>Kr-</v>
      </c>
      <c r="F20" s="180">
        <f>[1]!srInfoIonA(D22)</f>
        <v>84</v>
      </c>
      <c r="G20" s="459" t="str">
        <f>[1]!srInfoTrgName(D22)</f>
        <v>Si</v>
      </c>
      <c r="H20" s="169"/>
      <c r="I20" s="523"/>
      <c r="J20" s="876"/>
      <c r="K20" s="121"/>
      <c r="L20" s="877"/>
      <c r="M20" s="977" t="s">
        <v>676</v>
      </c>
      <c r="N20" s="9"/>
      <c r="O20" s="35">
        <f t="shared" si="11"/>
        <v>29</v>
      </c>
      <c r="P20" s="556">
        <f>[1]!srIx2Val(Q$6,O20,1)</f>
        <v>2.4999975000000003E-5</v>
      </c>
      <c r="Q20" s="559">
        <f>[1]!srIx2Val(Q$6,O20,5)</f>
        <v>1.0999999999999998E-3</v>
      </c>
      <c r="R20" s="554">
        <f t="shared" si="0"/>
        <v>-4.9988999999999999</v>
      </c>
      <c r="S20" s="465">
        <f>IF(R20&lt;=0,0,[1]!srRng2E(Q$6,R20))</f>
        <v>0</v>
      </c>
      <c r="T20" s="482" t="e">
        <f t="shared" si="1"/>
        <v>#N/A</v>
      </c>
      <c r="U20" s="466">
        <f t="shared" si="2"/>
        <v>2.4999975000000003E-5</v>
      </c>
      <c r="V20" s="466" t="e">
        <f t="shared" si="3"/>
        <v>#N/A</v>
      </c>
      <c r="W20" s="466">
        <f t="shared" si="4"/>
        <v>9.9999900000000011E-4</v>
      </c>
      <c r="X20" s="36"/>
      <c r="Y20" s="35">
        <f t="shared" si="5"/>
        <v>29</v>
      </c>
      <c r="Z20" s="556">
        <f>[1]!srIx2Val(AA$6,Y20,1)</f>
        <v>2.1428571428571428E-5</v>
      </c>
      <c r="AA20" s="559">
        <f>[1]!srIx2Val(AA$6,Y20,5)</f>
        <v>4.5999999999999999E-3</v>
      </c>
      <c r="AB20" s="554">
        <f t="shared" si="6"/>
        <v>-4.9954000000000001</v>
      </c>
      <c r="AC20" s="465">
        <f>IF(AB20&lt;=0,0,[1]!srRng2E(AA$6,AB20))</f>
        <v>0</v>
      </c>
      <c r="AD20" s="466" t="e">
        <f t="shared" si="7"/>
        <v>#N/A</v>
      </c>
      <c r="AE20" s="466">
        <f t="shared" si="8"/>
        <v>2.1428571428571428E-5</v>
      </c>
      <c r="AF20" s="466" t="e">
        <f t="shared" si="9"/>
        <v>#N/A</v>
      </c>
      <c r="AG20" s="466">
        <f t="shared" si="10"/>
        <v>1.8E-3</v>
      </c>
    </row>
    <row r="21" spans="2:33">
      <c r="B21" s="9"/>
      <c r="C21" s="388"/>
      <c r="D21" s="356">
        <f>E22*F20</f>
        <v>574.44160000000238</v>
      </c>
      <c r="E21" s="888" t="s">
        <v>347</v>
      </c>
      <c r="F21" s="169"/>
      <c r="G21" s="199" t="s">
        <v>81</v>
      </c>
      <c r="H21" s="169"/>
      <c r="I21" s="196" t="s">
        <v>77</v>
      </c>
      <c r="J21" s="197" t="s">
        <v>72</v>
      </c>
      <c r="K21" s="200" t="s">
        <v>73</v>
      </c>
      <c r="L21" s="878" t="s">
        <v>251</v>
      </c>
      <c r="M21" s="881" t="s">
        <v>257</v>
      </c>
      <c r="N21" s="9"/>
      <c r="O21" s="35">
        <f t="shared" si="11"/>
        <v>30</v>
      </c>
      <c r="P21" s="556">
        <f>[1]!srIx2Val(Q$6,O21,1)</f>
        <v>2.7500000000000001E-5</v>
      </c>
      <c r="Q21" s="559">
        <f>[1]!srIx2Val(Q$6,O21,5)</f>
        <v>1.2000000000000001E-3</v>
      </c>
      <c r="R21" s="554">
        <f t="shared" si="0"/>
        <v>-4.9988000000000001</v>
      </c>
      <c r="S21" s="465">
        <f>IF(R21&lt;=0,0,[1]!srRng2E(Q$6,R21))</f>
        <v>0</v>
      </c>
      <c r="T21" s="482" t="e">
        <f t="shared" si="1"/>
        <v>#N/A</v>
      </c>
      <c r="U21" s="466">
        <f t="shared" si="2"/>
        <v>2.7500000000000001E-5</v>
      </c>
      <c r="V21" s="466" t="e">
        <f t="shared" si="3"/>
        <v>#N/A</v>
      </c>
      <c r="W21" s="466">
        <f t="shared" si="4"/>
        <v>1.1000000000000001E-3</v>
      </c>
      <c r="Y21" s="35">
        <f t="shared" si="5"/>
        <v>30</v>
      </c>
      <c r="Z21" s="556">
        <f>[1]!srIx2Val(AA$6,Y21,1)</f>
        <v>2.380952380952381E-5</v>
      </c>
      <c r="AA21" s="559">
        <f>[1]!srIx2Val(AA$6,Y21,5)</f>
        <v>4.8999999999999998E-3</v>
      </c>
      <c r="AB21" s="554">
        <f t="shared" si="6"/>
        <v>-4.9950999999999999</v>
      </c>
      <c r="AC21" s="465">
        <f>IF(AB21&lt;=0,0,[1]!srRng2E(AA$6,AB21))</f>
        <v>0</v>
      </c>
      <c r="AD21" s="466" t="e">
        <f t="shared" si="7"/>
        <v>#N/A</v>
      </c>
      <c r="AE21" s="466">
        <f t="shared" si="8"/>
        <v>2.380952380952381E-5</v>
      </c>
      <c r="AF21" s="466" t="e">
        <f t="shared" si="9"/>
        <v>#N/A</v>
      </c>
      <c r="AG21" s="466">
        <f t="shared" si="10"/>
        <v>2E-3</v>
      </c>
    </row>
    <row r="22" spans="2:33">
      <c r="B22" s="9"/>
      <c r="C22" s="579" t="s">
        <v>55</v>
      </c>
      <c r="D22" s="895" t="s">
        <v>717</v>
      </c>
      <c r="E22" s="596">
        <f>[1]!srDEu_eq_Eold(D$17,D$22,E$17,G$17,1)</f>
        <v>6.8385904761905048</v>
      </c>
      <c r="F22" s="176" t="s">
        <v>49</v>
      </c>
      <c r="G22" s="576">
        <f>G$17</f>
        <v>5</v>
      </c>
      <c r="H22" s="176" t="s">
        <v>49</v>
      </c>
      <c r="I22" s="129">
        <f>[1]!srEnew(D$22,E22,G22)</f>
        <v>6.3398583738257495</v>
      </c>
      <c r="J22" s="578">
        <f>I22*F$20</f>
        <v>532.54810340136294</v>
      </c>
      <c r="K22" s="976">
        <f>E22-I22</f>
        <v>0.49873210236475529</v>
      </c>
      <c r="L22" s="879">
        <f>K22*F$20</f>
        <v>41.893496598639445</v>
      </c>
      <c r="M22" s="882">
        <f>K22/K$17</f>
        <v>0.99746420472951058</v>
      </c>
      <c r="N22" s="9"/>
      <c r="O22" s="35">
        <f t="shared" si="11"/>
        <v>31</v>
      </c>
      <c r="P22" s="556">
        <f>[1]!srIx2Val(Q$6,O22,1)</f>
        <v>2.9999999999999997E-5</v>
      </c>
      <c r="Q22" s="559">
        <f>[1]!srIx2Val(Q$6,O22,5)</f>
        <v>1.2999999999999999E-3</v>
      </c>
      <c r="R22" s="554">
        <f t="shared" si="0"/>
        <v>-4.9987000000000004</v>
      </c>
      <c r="S22" s="465">
        <f>IF(R22&lt;=0,0,[1]!srRng2E(Q$6,R22))</f>
        <v>0</v>
      </c>
      <c r="T22" s="482" t="e">
        <f t="shared" si="1"/>
        <v>#N/A</v>
      </c>
      <c r="U22" s="466">
        <f t="shared" si="2"/>
        <v>2.9999999999999997E-5</v>
      </c>
      <c r="V22" s="466" t="e">
        <f t="shared" si="3"/>
        <v>#N/A</v>
      </c>
      <c r="W22" s="466">
        <f t="shared" si="4"/>
        <v>1.1999999999999999E-3</v>
      </c>
      <c r="Y22" s="35">
        <f t="shared" ref="Y22:Y85" si="12">Y21+1</f>
        <v>31</v>
      </c>
      <c r="Z22" s="556">
        <f>[1]!srIx2Val(AA$6,Y22,1)</f>
        <v>2.6785714285714284E-5</v>
      </c>
      <c r="AA22" s="559">
        <f>[1]!srIx2Val(AA$6,Y22,5)</f>
        <v>5.1999999999999998E-3</v>
      </c>
      <c r="AB22" s="554">
        <f t="shared" si="6"/>
        <v>-4.9947999999999997</v>
      </c>
      <c r="AC22" s="465">
        <f>IF(AB22&lt;=0,0,[1]!srRng2E(AA$6,AB22))</f>
        <v>0</v>
      </c>
      <c r="AD22" s="466" t="e">
        <f t="shared" si="7"/>
        <v>#N/A</v>
      </c>
      <c r="AE22" s="466">
        <f t="shared" si="8"/>
        <v>2.6785714285714284E-5</v>
      </c>
      <c r="AF22" s="466" t="e">
        <f t="shared" si="9"/>
        <v>#N/A</v>
      </c>
      <c r="AG22" s="466">
        <f t="shared" si="10"/>
        <v>2.2499999999999998E-3</v>
      </c>
    </row>
    <row r="23" spans="2:33">
      <c r="B23" s="9"/>
      <c r="C23" s="580"/>
      <c r="D23" s="577" t="s">
        <v>349</v>
      </c>
      <c r="E23" s="888" t="s">
        <v>348</v>
      </c>
      <c r="F23" s="169"/>
      <c r="G23" s="199" t="s">
        <v>81</v>
      </c>
      <c r="H23" s="169"/>
      <c r="I23" s="196" t="s">
        <v>77</v>
      </c>
      <c r="J23" s="197" t="s">
        <v>72</v>
      </c>
      <c r="K23" s="200" t="s">
        <v>73</v>
      </c>
      <c r="L23" s="878" t="s">
        <v>251</v>
      </c>
      <c r="M23" s="883" t="s">
        <v>257</v>
      </c>
      <c r="N23" s="9"/>
      <c r="O23" s="35">
        <f t="shared" si="11"/>
        <v>32</v>
      </c>
      <c r="P23" s="556">
        <f>[1]!srIx2Val(Q$6,O23,1)</f>
        <v>3.2499999999999997E-5</v>
      </c>
      <c r="Q23" s="559">
        <f>[1]!srIx2Val(Q$6,O23,5)</f>
        <v>1.2999999999999999E-3</v>
      </c>
      <c r="R23" s="554">
        <f t="shared" si="0"/>
        <v>-4.9987000000000004</v>
      </c>
      <c r="S23" s="465">
        <f>IF(R23&lt;=0,0,[1]!srRng2E(Q$6,R23))</f>
        <v>0</v>
      </c>
      <c r="T23" s="482" t="e">
        <f t="shared" si="1"/>
        <v>#N/A</v>
      </c>
      <c r="U23" s="466">
        <f t="shared" si="2"/>
        <v>3.2499999999999997E-5</v>
      </c>
      <c r="V23" s="466" t="e">
        <f t="shared" si="3"/>
        <v>#N/A</v>
      </c>
      <c r="W23" s="466">
        <f t="shared" si="4"/>
        <v>1.2999999999999999E-3</v>
      </c>
      <c r="Y23" s="35">
        <f t="shared" si="12"/>
        <v>32</v>
      </c>
      <c r="Z23" s="556">
        <f>[1]!srIx2Val(AA$6,Y23,1)</f>
        <v>2.9761904761904762E-5</v>
      </c>
      <c r="AA23" s="559">
        <f>[1]!srIx2Val(AA$6,Y23,5)</f>
        <v>5.4999999999999997E-3</v>
      </c>
      <c r="AB23" s="554">
        <f t="shared" si="6"/>
        <v>-4.9945000000000004</v>
      </c>
      <c r="AC23" s="465">
        <f>IF(AB23&lt;=0,0,[1]!srRng2E(AA$6,AB23))</f>
        <v>0</v>
      </c>
      <c r="AD23" s="466" t="e">
        <f t="shared" si="7"/>
        <v>#N/A</v>
      </c>
      <c r="AE23" s="466">
        <f t="shared" si="8"/>
        <v>2.9761904761904762E-5</v>
      </c>
      <c r="AF23" s="466" t="e">
        <f t="shared" si="9"/>
        <v>#N/A</v>
      </c>
      <c r="AG23" s="466">
        <f t="shared" si="10"/>
        <v>2.5000000000000001E-3</v>
      </c>
    </row>
    <row r="24" spans="2:33">
      <c r="B24" s="9"/>
      <c r="C24" s="388"/>
      <c r="D24" s="64"/>
      <c r="E24" s="596">
        <f>[1]!srDEu_eq_Eold(D$17,D$22,E$17,G$17,-1)</f>
        <v>1.2083847102342786</v>
      </c>
      <c r="F24" s="176" t="s">
        <v>49</v>
      </c>
      <c r="G24" s="576">
        <f>G$17</f>
        <v>5</v>
      </c>
      <c r="H24" s="176" t="s">
        <v>49</v>
      </c>
      <c r="I24" s="129">
        <f>[1]!srEnew(D$22,E24,G24)</f>
        <v>0.70787432871279965</v>
      </c>
      <c r="J24" s="578">
        <f>I24*F$20</f>
        <v>59.461443611875168</v>
      </c>
      <c r="K24" s="976">
        <f>E24-I24</f>
        <v>0.50051038152147898</v>
      </c>
      <c r="L24" s="879">
        <f>K24*F$20</f>
        <v>42.042872047804231</v>
      </c>
      <c r="M24" s="882">
        <f>K24/K$17</f>
        <v>1.001020763042958</v>
      </c>
      <c r="N24" s="9"/>
      <c r="O24" s="35">
        <f t="shared" si="11"/>
        <v>33</v>
      </c>
      <c r="P24" s="556">
        <f>[1]!srIx2Val(Q$6,O24,1)</f>
        <v>3.4999999999999997E-5</v>
      </c>
      <c r="Q24" s="559">
        <f>[1]!srIx2Val(Q$6,O24,5)</f>
        <v>1.4E-3</v>
      </c>
      <c r="R24" s="554">
        <f t="shared" si="0"/>
        <v>-4.9985999999999997</v>
      </c>
      <c r="S24" s="465">
        <f>IF(R24&lt;=0,0,[1]!srRng2E(Q$6,R24))</f>
        <v>0</v>
      </c>
      <c r="T24" s="482" t="e">
        <f t="shared" si="1"/>
        <v>#N/A</v>
      </c>
      <c r="U24" s="466">
        <f t="shared" si="2"/>
        <v>3.4999999999999997E-5</v>
      </c>
      <c r="V24" s="466" t="e">
        <f t="shared" si="3"/>
        <v>#N/A</v>
      </c>
      <c r="W24" s="466">
        <f t="shared" si="4"/>
        <v>1.3999999999999998E-3</v>
      </c>
      <c r="Y24" s="35">
        <f t="shared" si="12"/>
        <v>33</v>
      </c>
      <c r="Z24" s="556">
        <f>[1]!srIx2Val(AA$6,Y24,1)</f>
        <v>3.2738095238095239E-5</v>
      </c>
      <c r="AA24" s="559">
        <f>[1]!srIx2Val(AA$6,Y24,5)</f>
        <v>5.8000000000000005E-3</v>
      </c>
      <c r="AB24" s="554">
        <f t="shared" si="6"/>
        <v>-4.9942000000000002</v>
      </c>
      <c r="AC24" s="465">
        <f>IF(AB24&lt;=0,0,[1]!srRng2E(AA$6,AB24))</f>
        <v>0</v>
      </c>
      <c r="AD24" s="466" t="e">
        <f t="shared" si="7"/>
        <v>#N/A</v>
      </c>
      <c r="AE24" s="466">
        <f t="shared" si="8"/>
        <v>3.2738095238095239E-5</v>
      </c>
      <c r="AF24" s="466" t="e">
        <f t="shared" si="9"/>
        <v>#N/A</v>
      </c>
      <c r="AG24" s="466">
        <f t="shared" si="10"/>
        <v>2.7500000000000003E-3</v>
      </c>
    </row>
    <row r="25" spans="2:33">
      <c r="B25" s="35"/>
      <c r="C25" s="580"/>
      <c r="D25" s="64"/>
      <c r="E25" s="888" t="s">
        <v>347</v>
      </c>
      <c r="F25" s="169"/>
      <c r="G25" s="199" t="s">
        <v>81</v>
      </c>
      <c r="H25" s="169"/>
      <c r="I25" s="196" t="s">
        <v>77</v>
      </c>
      <c r="J25" s="197" t="s">
        <v>72</v>
      </c>
      <c r="K25" s="197" t="s">
        <v>79</v>
      </c>
      <c r="L25" s="880" t="s">
        <v>351</v>
      </c>
      <c r="M25" s="883" t="s">
        <v>259</v>
      </c>
      <c r="N25" s="35"/>
      <c r="O25" s="35">
        <f t="shared" si="11"/>
        <v>34</v>
      </c>
      <c r="P25" s="556">
        <f>[1]!srIx2Val(Q$6,O25,1)</f>
        <v>3.7500000000000003E-5</v>
      </c>
      <c r="Q25" s="559">
        <f>[1]!srIx2Val(Q$6,O25,5)</f>
        <v>1.4E-3</v>
      </c>
      <c r="R25" s="554">
        <f t="shared" si="0"/>
        <v>-4.9985999999999997</v>
      </c>
      <c r="S25" s="465">
        <f>IF(R25&lt;=0,0,[1]!srRng2E(Q$6,R25))</f>
        <v>0</v>
      </c>
      <c r="T25" s="482" t="e">
        <f t="shared" si="1"/>
        <v>#N/A</v>
      </c>
      <c r="U25" s="466">
        <f t="shared" si="2"/>
        <v>3.7500000000000003E-5</v>
      </c>
      <c r="V25" s="466" t="e">
        <f t="shared" si="3"/>
        <v>#N/A</v>
      </c>
      <c r="W25" s="466">
        <f t="shared" si="4"/>
        <v>1.5E-3</v>
      </c>
      <c r="Y25" s="35">
        <f t="shared" si="12"/>
        <v>34</v>
      </c>
      <c r="Z25" s="556">
        <f>[1]!srIx2Val(AA$6,Y25,1)</f>
        <v>3.5714285714285717E-5</v>
      </c>
      <c r="AA25" s="559">
        <f>[1]!srIx2Val(AA$6,Y25,5)</f>
        <v>6.0000000000000001E-3</v>
      </c>
      <c r="AB25" s="554">
        <f t="shared" si="6"/>
        <v>-4.9939999999999998</v>
      </c>
      <c r="AC25" s="465">
        <f>IF(AB25&lt;=0,0,[1]!srRng2E(AA$6,AB25))</f>
        <v>0</v>
      </c>
      <c r="AD25" s="466" t="e">
        <f t="shared" si="7"/>
        <v>#N/A</v>
      </c>
      <c r="AE25" s="466">
        <f t="shared" si="8"/>
        <v>3.5714285714285717E-5</v>
      </c>
      <c r="AF25" s="466" t="e">
        <f t="shared" si="9"/>
        <v>#N/A</v>
      </c>
      <c r="AG25" s="466">
        <f t="shared" si="10"/>
        <v>3.0000000000000001E-3</v>
      </c>
    </row>
    <row r="26" spans="2:33">
      <c r="B26" s="35"/>
      <c r="C26" s="581"/>
      <c r="D26" s="577" t="s">
        <v>350</v>
      </c>
      <c r="E26" s="596">
        <f>[1]!srDEt_eq_Eold(D$17,D$22,E$17,G$17,1)</f>
        <v>30.282474729022145</v>
      </c>
      <c r="F26" s="176" t="s">
        <v>49</v>
      </c>
      <c r="G26" s="576">
        <f>G$17</f>
        <v>5</v>
      </c>
      <c r="H26" s="176" t="s">
        <v>49</v>
      </c>
      <c r="I26" s="129">
        <f>[1]!srEnew(D$22,E26,G26)</f>
        <v>30.056182874080655</v>
      </c>
      <c r="J26" s="578">
        <f>I26*F$20</f>
        <v>2524.7193614227749</v>
      </c>
      <c r="K26" s="525">
        <f>E26-I26</f>
        <v>0.22629185494148985</v>
      </c>
      <c r="L26" s="974">
        <f>K26*F$20</f>
        <v>19.008515815085147</v>
      </c>
      <c r="M26" s="882">
        <f>L26/L$17</f>
        <v>0.95042579075425737</v>
      </c>
      <c r="N26" s="35"/>
      <c r="O26" s="35">
        <f t="shared" si="11"/>
        <v>35</v>
      </c>
      <c r="P26" s="556">
        <f>[1]!srIx2Val(Q$6,O26,1)</f>
        <v>4.0000000000000003E-5</v>
      </c>
      <c r="Q26" s="559">
        <f>[1]!srIx2Val(Q$6,O26,5)</f>
        <v>1.5E-3</v>
      </c>
      <c r="R26" s="554">
        <f t="shared" si="0"/>
        <v>-4.9984999999999999</v>
      </c>
      <c r="S26" s="465">
        <f>IF(R26&lt;=0,0,[1]!srRng2E(Q$6,R26))</f>
        <v>0</v>
      </c>
      <c r="T26" s="482" t="e">
        <f t="shared" si="1"/>
        <v>#N/A</v>
      </c>
      <c r="U26" s="466">
        <f t="shared" si="2"/>
        <v>4.0000000000000003E-5</v>
      </c>
      <c r="V26" s="466" t="e">
        <f t="shared" si="3"/>
        <v>#N/A</v>
      </c>
      <c r="W26" s="466">
        <f t="shared" si="4"/>
        <v>1.6000000000000001E-3</v>
      </c>
      <c r="Y26" s="35">
        <f t="shared" si="12"/>
        <v>35</v>
      </c>
      <c r="Z26" s="556">
        <f>[1]!srIx2Val(AA$6,Y26,1)</f>
        <v>3.8690476190476188E-5</v>
      </c>
      <c r="AA26" s="559">
        <f>[1]!srIx2Val(AA$6,Y26,5)</f>
        <v>6.3E-3</v>
      </c>
      <c r="AB26" s="554">
        <f t="shared" si="6"/>
        <v>-4.9936999999999996</v>
      </c>
      <c r="AC26" s="465">
        <f>IF(AB26&lt;=0,0,[1]!srRng2E(AA$6,AB26))</f>
        <v>0</v>
      </c>
      <c r="AD26" s="466" t="e">
        <f t="shared" si="7"/>
        <v>#N/A</v>
      </c>
      <c r="AE26" s="466">
        <f t="shared" si="8"/>
        <v>3.8690476190476188E-5</v>
      </c>
      <c r="AF26" s="466" t="e">
        <f t="shared" si="9"/>
        <v>#N/A</v>
      </c>
      <c r="AG26" s="466">
        <f t="shared" si="10"/>
        <v>3.2499999999999999E-3</v>
      </c>
    </row>
    <row r="27" spans="2:33">
      <c r="B27" s="9"/>
      <c r="C27" s="580"/>
      <c r="D27" s="64"/>
      <c r="E27" s="888" t="s">
        <v>348</v>
      </c>
      <c r="F27" s="169"/>
      <c r="G27" s="199" t="s">
        <v>81</v>
      </c>
      <c r="H27" s="169"/>
      <c r="I27" s="196" t="s">
        <v>77</v>
      </c>
      <c r="J27" s="197" t="s">
        <v>72</v>
      </c>
      <c r="K27" s="197" t="s">
        <v>79</v>
      </c>
      <c r="L27" s="880" t="s">
        <v>351</v>
      </c>
      <c r="M27" s="883" t="s">
        <v>259</v>
      </c>
      <c r="N27" s="9"/>
      <c r="O27" s="35">
        <f t="shared" si="11"/>
        <v>36</v>
      </c>
      <c r="P27" s="556">
        <f>[1]!srIx2Val(Q$6,O27,1)</f>
        <v>4.2499999999999996E-5</v>
      </c>
      <c r="Q27" s="559">
        <f>[1]!srIx2Val(Q$6,O27,5)</f>
        <v>1.5E-3</v>
      </c>
      <c r="R27" s="554">
        <f t="shared" si="0"/>
        <v>-4.9984999999999999</v>
      </c>
      <c r="S27" s="465">
        <f>IF(R27&lt;=0,0,[1]!srRng2E(Q$6,R27))</f>
        <v>0</v>
      </c>
      <c r="T27" s="482" t="e">
        <f t="shared" si="1"/>
        <v>#N/A</v>
      </c>
      <c r="U27" s="466">
        <f t="shared" si="2"/>
        <v>4.2499999999999996E-5</v>
      </c>
      <c r="V27" s="466" t="e">
        <f t="shared" si="3"/>
        <v>#N/A</v>
      </c>
      <c r="W27" s="466">
        <f t="shared" si="4"/>
        <v>1.6999999999999999E-3</v>
      </c>
      <c r="Y27" s="35">
        <f t="shared" si="12"/>
        <v>36</v>
      </c>
      <c r="Z27" s="556">
        <f>[1]!srIx2Val(AA$6,Y27,1)</f>
        <v>4.1666666666666665E-5</v>
      </c>
      <c r="AA27" s="559">
        <f>[1]!srIx2Val(AA$6,Y27,5)</f>
        <v>6.6E-3</v>
      </c>
      <c r="AB27" s="554">
        <f t="shared" si="6"/>
        <v>-4.9934000000000003</v>
      </c>
      <c r="AC27" s="465">
        <f>IF(AB27&lt;=0,0,[1]!srRng2E(AA$6,AB27))</f>
        <v>0</v>
      </c>
      <c r="AD27" s="466" t="e">
        <f t="shared" si="7"/>
        <v>#N/A</v>
      </c>
      <c r="AE27" s="466">
        <f t="shared" si="8"/>
        <v>4.1666666666666665E-5</v>
      </c>
      <c r="AF27" s="466" t="e">
        <f t="shared" si="9"/>
        <v>#N/A</v>
      </c>
      <c r="AG27" s="466">
        <f t="shared" si="10"/>
        <v>3.5000000000000001E-3</v>
      </c>
    </row>
    <row r="28" spans="2:33" ht="14.25" thickBot="1">
      <c r="B28" s="9"/>
      <c r="C28" s="582"/>
      <c r="D28" s="583"/>
      <c r="E28" s="889">
        <f>[1]!srDEt_eq_Eold(D$17,D$22,E$17,G$17,-1)</f>
        <v>0.28472439303949149</v>
      </c>
      <c r="F28" s="393" t="s">
        <v>49</v>
      </c>
      <c r="G28" s="475">
        <f>G$17</f>
        <v>5</v>
      </c>
      <c r="H28" s="393" t="s">
        <v>49</v>
      </c>
      <c r="I28" s="407">
        <f>[1]!srEnew(D$22,E28,G28)</f>
        <v>4.6519627345666732E-2</v>
      </c>
      <c r="J28" s="870">
        <f>I28*F$20</f>
        <v>3.9076486970360054</v>
      </c>
      <c r="K28" s="522">
        <f>E28-I28</f>
        <v>0.23820476569382476</v>
      </c>
      <c r="L28" s="975">
        <f>K28*F$20</f>
        <v>20.00920031828128</v>
      </c>
      <c r="M28" s="884">
        <f>L28/L$17</f>
        <v>1.000460015914064</v>
      </c>
      <c r="N28" s="9"/>
      <c r="O28" s="35">
        <f t="shared" si="11"/>
        <v>37</v>
      </c>
      <c r="P28" s="556">
        <f>[1]!srIx2Val(Q$6,O28,1)</f>
        <v>4.4999999999999996E-5</v>
      </c>
      <c r="Q28" s="559">
        <f>[1]!srIx2Val(Q$6,O28,5)</f>
        <v>1.6000000000000001E-3</v>
      </c>
      <c r="R28" s="554">
        <f t="shared" si="0"/>
        <v>-4.9984000000000002</v>
      </c>
      <c r="S28" s="465">
        <f>IF(R28&lt;=0,0,[1]!srRng2E(Q$6,R28))</f>
        <v>0</v>
      </c>
      <c r="T28" s="482" t="e">
        <f t="shared" si="1"/>
        <v>#N/A</v>
      </c>
      <c r="U28" s="466">
        <f t="shared" si="2"/>
        <v>4.4999999999999996E-5</v>
      </c>
      <c r="V28" s="466" t="e">
        <f t="shared" si="3"/>
        <v>#N/A</v>
      </c>
      <c r="W28" s="466">
        <f t="shared" si="4"/>
        <v>1.8E-3</v>
      </c>
      <c r="Y28" s="35">
        <f t="shared" si="12"/>
        <v>37</v>
      </c>
      <c r="Z28" s="556">
        <f>[1]!srIx2Val(AA$6,Y28,1)</f>
        <v>4.4642857142857143E-5</v>
      </c>
      <c r="AA28" s="559">
        <f>[1]!srIx2Val(AA$6,Y28,5)</f>
        <v>6.8000000000000005E-3</v>
      </c>
      <c r="AB28" s="554">
        <f t="shared" si="6"/>
        <v>-4.9931999999999999</v>
      </c>
      <c r="AC28" s="465">
        <f>IF(AB28&lt;=0,0,[1]!srRng2E(AA$6,AB28))</f>
        <v>0</v>
      </c>
      <c r="AD28" s="466" t="e">
        <f t="shared" si="7"/>
        <v>#N/A</v>
      </c>
      <c r="AE28" s="466">
        <f t="shared" si="8"/>
        <v>4.4642857142857143E-5</v>
      </c>
      <c r="AF28" s="466" t="e">
        <f t="shared" si="9"/>
        <v>#N/A</v>
      </c>
      <c r="AG28" s="466">
        <f t="shared" si="10"/>
        <v>3.7499999999999999E-3</v>
      </c>
    </row>
    <row r="29" spans="2:33">
      <c r="B29" s="9"/>
      <c r="D29" s="36"/>
      <c r="E29" s="37"/>
      <c r="F29" s="35"/>
      <c r="G29" s="585"/>
      <c r="H29" s="35"/>
      <c r="I29" s="35"/>
      <c r="J29" s="482"/>
      <c r="K29" s="353"/>
      <c r="L29" s="353"/>
      <c r="M29" s="353"/>
      <c r="N29" s="9"/>
      <c r="O29" s="35">
        <f t="shared" si="11"/>
        <v>38</v>
      </c>
      <c r="P29" s="556">
        <f>[1]!srIx2Val(Q$6,O29,1)</f>
        <v>5.0000000000000002E-5</v>
      </c>
      <c r="Q29" s="559">
        <f>[1]!srIx2Val(Q$6,O29,5)</f>
        <v>1.7000000000000001E-3</v>
      </c>
      <c r="R29" s="554">
        <f t="shared" si="0"/>
        <v>-4.9983000000000004</v>
      </c>
      <c r="S29" s="465">
        <f>IF(R29&lt;=0,0,[1]!srRng2E(Q$6,R29))</f>
        <v>0</v>
      </c>
      <c r="T29" s="482" t="e">
        <f t="shared" si="1"/>
        <v>#N/A</v>
      </c>
      <c r="U29" s="466">
        <f t="shared" si="2"/>
        <v>5.0000000000000002E-5</v>
      </c>
      <c r="V29" s="466" t="e">
        <f t="shared" si="3"/>
        <v>#N/A</v>
      </c>
      <c r="W29" s="466">
        <f t="shared" si="4"/>
        <v>2E-3</v>
      </c>
      <c r="Y29" s="35">
        <f t="shared" si="12"/>
        <v>38</v>
      </c>
      <c r="Z29" s="556">
        <f>[1]!srIx2Val(AA$6,Y29,1)</f>
        <v>4.761904761904762E-5</v>
      </c>
      <c r="AA29" s="559">
        <f>[1]!srIx2Val(AA$6,Y29,5)</f>
        <v>7.000000000000001E-3</v>
      </c>
      <c r="AB29" s="554">
        <f t="shared" si="6"/>
        <v>-4.9930000000000003</v>
      </c>
      <c r="AC29" s="465">
        <f>IF(AB29&lt;=0,0,[1]!srRng2E(AA$6,AB29))</f>
        <v>0</v>
      </c>
      <c r="AD29" s="466" t="e">
        <f t="shared" si="7"/>
        <v>#N/A</v>
      </c>
      <c r="AE29" s="466">
        <f t="shared" si="8"/>
        <v>4.761904761904762E-5</v>
      </c>
      <c r="AF29" s="466" t="e">
        <f t="shared" si="9"/>
        <v>#N/A</v>
      </c>
      <c r="AG29" s="466">
        <f t="shared" si="10"/>
        <v>4.0000000000000001E-3</v>
      </c>
    </row>
    <row r="30" spans="2:33">
      <c r="B30" s="9"/>
      <c r="D30" s="491"/>
      <c r="E30" s="586"/>
      <c r="F30" s="36"/>
      <c r="G30" s="587"/>
      <c r="H30" s="35"/>
      <c r="I30" s="36"/>
      <c r="J30" s="482"/>
      <c r="K30" s="353"/>
      <c r="L30" s="353"/>
      <c r="M30" s="353"/>
      <c r="N30" s="217"/>
      <c r="O30" s="35">
        <f t="shared" si="11"/>
        <v>39</v>
      </c>
      <c r="P30" s="556">
        <f>[1]!srIx2Val(Q$6,O30,1)</f>
        <v>5.6249999999999998E-5</v>
      </c>
      <c r="Q30" s="559">
        <f>[1]!srIx2Val(Q$6,O30,5)</f>
        <v>1.8E-3</v>
      </c>
      <c r="R30" s="554">
        <f t="shared" si="0"/>
        <v>-4.9981999999999998</v>
      </c>
      <c r="S30" s="465">
        <f>IF(R30&lt;=0,0,[1]!srRng2E(Q$6,R30))</f>
        <v>0</v>
      </c>
      <c r="T30" s="482" t="e">
        <f t="shared" si="1"/>
        <v>#N/A</v>
      </c>
      <c r="U30" s="466">
        <f t="shared" si="2"/>
        <v>5.6249999999999998E-5</v>
      </c>
      <c r="V30" s="466" t="e">
        <f t="shared" si="3"/>
        <v>#N/A</v>
      </c>
      <c r="W30" s="466">
        <f t="shared" si="4"/>
        <v>2.2499999999999998E-3</v>
      </c>
      <c r="Y30" s="35">
        <f t="shared" si="12"/>
        <v>39</v>
      </c>
      <c r="Z30" s="556">
        <f>[1]!srIx2Val(AA$6,Y30,1)</f>
        <v>5.3571428571428569E-5</v>
      </c>
      <c r="AA30" s="559">
        <f>[1]!srIx2Val(AA$6,Y30,5)</f>
        <v>7.4999999999999997E-3</v>
      </c>
      <c r="AB30" s="554">
        <f t="shared" si="6"/>
        <v>-4.9924999999999997</v>
      </c>
      <c r="AC30" s="465">
        <f>IF(AB30&lt;=0,0,[1]!srRng2E(AA$6,AB30))</f>
        <v>0</v>
      </c>
      <c r="AD30" s="466" t="e">
        <f t="shared" si="7"/>
        <v>#N/A</v>
      </c>
      <c r="AE30" s="466">
        <f t="shared" si="8"/>
        <v>5.3571428571428569E-5</v>
      </c>
      <c r="AF30" s="466" t="e">
        <f t="shared" si="9"/>
        <v>#N/A</v>
      </c>
      <c r="AG30" s="466">
        <f t="shared" si="10"/>
        <v>4.4999999999999997E-3</v>
      </c>
    </row>
    <row r="31" spans="2:33">
      <c r="B31" s="9"/>
      <c r="H31" s="488"/>
      <c r="I31" s="466"/>
      <c r="J31" s="482"/>
      <c r="K31" s="353"/>
      <c r="L31" s="353"/>
      <c r="M31" s="353"/>
      <c r="N31" s="217"/>
      <c r="O31" s="35">
        <f t="shared" si="11"/>
        <v>40</v>
      </c>
      <c r="P31" s="556">
        <f>[1]!srIx2Val(Q$6,O31,1)</f>
        <v>6.2500000000000001E-5</v>
      </c>
      <c r="Q31" s="559">
        <f>[1]!srIx2Val(Q$6,O31,5)</f>
        <v>1.9E-3</v>
      </c>
      <c r="R31" s="554">
        <f t="shared" si="0"/>
        <v>-4.9981</v>
      </c>
      <c r="S31" s="465">
        <f>IF(R31&lt;=0,0,[1]!srRng2E(Q$6,R31))</f>
        <v>0</v>
      </c>
      <c r="T31" s="482" t="e">
        <f t="shared" si="1"/>
        <v>#N/A</v>
      </c>
      <c r="U31" s="466">
        <f t="shared" si="2"/>
        <v>6.2500000000000001E-5</v>
      </c>
      <c r="V31" s="466" t="e">
        <f t="shared" si="3"/>
        <v>#N/A</v>
      </c>
      <c r="W31" s="466">
        <f t="shared" si="4"/>
        <v>2.5000000000000001E-3</v>
      </c>
      <c r="Y31" s="35">
        <f t="shared" si="12"/>
        <v>40</v>
      </c>
      <c r="Z31" s="556">
        <f>[1]!srIx2Val(AA$6,Y31,1)</f>
        <v>5.9523809523809524E-5</v>
      </c>
      <c r="AA31" s="559">
        <f>[1]!srIx2Val(AA$6,Y31,5)</f>
        <v>8.0000000000000002E-3</v>
      </c>
      <c r="AB31" s="554">
        <f t="shared" si="6"/>
        <v>-4.992</v>
      </c>
      <c r="AC31" s="465">
        <f>IF(AB31&lt;=0,0,[1]!srRng2E(AA$6,AB31))</f>
        <v>0</v>
      </c>
      <c r="AD31" s="466" t="e">
        <f t="shared" si="7"/>
        <v>#N/A</v>
      </c>
      <c r="AE31" s="466">
        <f t="shared" si="8"/>
        <v>5.9523809523809524E-5</v>
      </c>
      <c r="AF31" s="466" t="e">
        <f t="shared" si="9"/>
        <v>#N/A</v>
      </c>
      <c r="AG31" s="466">
        <f t="shared" si="10"/>
        <v>5.0000000000000001E-3</v>
      </c>
    </row>
    <row r="32" spans="2:33">
      <c r="B32" s="9"/>
      <c r="H32" s="488"/>
      <c r="I32" s="466"/>
      <c r="J32" s="482"/>
      <c r="K32" s="353"/>
      <c r="L32" s="353"/>
      <c r="M32" s="353"/>
      <c r="N32" s="217"/>
      <c r="O32" s="35">
        <f t="shared" si="11"/>
        <v>41</v>
      </c>
      <c r="P32" s="556">
        <f>[1]!srIx2Val(Q$6,O32,1)</f>
        <v>6.8749999999999991E-5</v>
      </c>
      <c r="Q32" s="559">
        <f>[1]!srIx2Val(Q$6,O32,5)</f>
        <v>2E-3</v>
      </c>
      <c r="R32" s="554">
        <f t="shared" si="0"/>
        <v>-4.9980000000000002</v>
      </c>
      <c r="S32" s="465">
        <f>IF(R32&lt;=0,0,[1]!srRng2E(Q$6,R32))</f>
        <v>0</v>
      </c>
      <c r="T32" s="482" t="e">
        <f t="shared" si="1"/>
        <v>#N/A</v>
      </c>
      <c r="U32" s="466">
        <f t="shared" si="2"/>
        <v>6.8749999999999991E-5</v>
      </c>
      <c r="V32" s="466" t="e">
        <f t="shared" si="3"/>
        <v>#N/A</v>
      </c>
      <c r="W32" s="466">
        <f t="shared" si="4"/>
        <v>2.7499999999999998E-3</v>
      </c>
      <c r="Y32" s="35">
        <f t="shared" si="12"/>
        <v>41</v>
      </c>
      <c r="Z32" s="556">
        <f>[1]!srIx2Val(AA$6,Y32,1)</f>
        <v>6.5476190476190479E-5</v>
      </c>
      <c r="AA32" s="559">
        <f>[1]!srIx2Val(AA$6,Y32,5)</f>
        <v>8.4000000000000012E-3</v>
      </c>
      <c r="AB32" s="554">
        <f t="shared" si="6"/>
        <v>-4.9916</v>
      </c>
      <c r="AC32" s="465">
        <f>IF(AB32&lt;=0,0,[1]!srRng2E(AA$6,AB32))</f>
        <v>0</v>
      </c>
      <c r="AD32" s="466" t="e">
        <f t="shared" si="7"/>
        <v>#N/A</v>
      </c>
      <c r="AE32" s="466">
        <f t="shared" si="8"/>
        <v>6.5476190476190479E-5</v>
      </c>
      <c r="AF32" s="466" t="e">
        <f t="shared" si="9"/>
        <v>#N/A</v>
      </c>
      <c r="AG32" s="466">
        <f t="shared" si="10"/>
        <v>5.5000000000000005E-3</v>
      </c>
    </row>
    <row r="33" spans="2:33">
      <c r="B33" s="9"/>
      <c r="H33" s="488"/>
      <c r="I33" s="466"/>
      <c r="J33" s="482"/>
      <c r="K33" s="353"/>
      <c r="L33" s="353"/>
      <c r="M33" s="353"/>
      <c r="N33" s="9"/>
      <c r="O33" s="35">
        <f t="shared" si="11"/>
        <v>42</v>
      </c>
      <c r="P33" s="556">
        <f>[1]!srIx2Val(Q$6,O33,1)</f>
        <v>7.5000000000000007E-5</v>
      </c>
      <c r="Q33" s="559">
        <f>[1]!srIx2Val(Q$6,O33,5)</f>
        <v>2.1000000000000003E-3</v>
      </c>
      <c r="R33" s="554">
        <f t="shared" si="0"/>
        <v>-4.9978999999999996</v>
      </c>
      <c r="S33" s="465">
        <f>IF(R33&lt;=0,0,[1]!srRng2E(Q$6,R33))</f>
        <v>0</v>
      </c>
      <c r="T33" s="482" t="e">
        <f t="shared" si="1"/>
        <v>#N/A</v>
      </c>
      <c r="U33" s="466">
        <f t="shared" si="2"/>
        <v>7.5000000000000007E-5</v>
      </c>
      <c r="V33" s="466" t="e">
        <f t="shared" si="3"/>
        <v>#N/A</v>
      </c>
      <c r="W33" s="466">
        <f t="shared" si="4"/>
        <v>3.0000000000000001E-3</v>
      </c>
      <c r="Y33" s="35">
        <f t="shared" si="12"/>
        <v>42</v>
      </c>
      <c r="Z33" s="556">
        <f>[1]!srIx2Val(AA$6,Y33,1)</f>
        <v>7.1428571428571434E-5</v>
      </c>
      <c r="AA33" s="559">
        <f>[1]!srIx2Val(AA$6,Y33,5)</f>
        <v>8.8999999999999999E-3</v>
      </c>
      <c r="AB33" s="554">
        <f t="shared" si="6"/>
        <v>-4.9911000000000003</v>
      </c>
      <c r="AC33" s="465">
        <f>IF(AB33&lt;=0,0,[1]!srRng2E(AA$6,AB33))</f>
        <v>0</v>
      </c>
      <c r="AD33" s="466" t="e">
        <f t="shared" si="7"/>
        <v>#N/A</v>
      </c>
      <c r="AE33" s="466">
        <f t="shared" si="8"/>
        <v>7.1428571428571434E-5</v>
      </c>
      <c r="AF33" s="466" t="e">
        <f t="shared" si="9"/>
        <v>#N/A</v>
      </c>
      <c r="AG33" s="466">
        <f t="shared" si="10"/>
        <v>6.0000000000000001E-3</v>
      </c>
    </row>
    <row r="34" spans="2:33">
      <c r="B34" s="35"/>
      <c r="H34" s="488"/>
      <c r="I34" s="466"/>
      <c r="J34" s="482"/>
      <c r="K34" s="353"/>
      <c r="L34" s="353"/>
      <c r="M34" s="353"/>
      <c r="N34" s="35"/>
      <c r="O34" s="35">
        <f t="shared" si="11"/>
        <v>43</v>
      </c>
      <c r="P34" s="556">
        <f>[1]!srIx2Val(Q$6,O34,1)</f>
        <v>8.1249999999999996E-5</v>
      </c>
      <c r="Q34" s="559">
        <f>[1]!srIx2Val(Q$6,O34,5)</f>
        <v>2.1999999999999997E-3</v>
      </c>
      <c r="R34" s="554">
        <f t="shared" si="0"/>
        <v>-4.9977999999999998</v>
      </c>
      <c r="S34" s="465">
        <f>IF(R34&lt;=0,0,[1]!srRng2E(Q$6,R34))</f>
        <v>0</v>
      </c>
      <c r="T34" s="482" t="e">
        <f t="shared" si="1"/>
        <v>#N/A</v>
      </c>
      <c r="U34" s="466">
        <f t="shared" si="2"/>
        <v>8.1249999999999996E-5</v>
      </c>
      <c r="V34" s="466" t="e">
        <f t="shared" si="3"/>
        <v>#N/A</v>
      </c>
      <c r="W34" s="466">
        <f t="shared" si="4"/>
        <v>3.2499999999999999E-3</v>
      </c>
      <c r="Y34" s="35">
        <f t="shared" si="12"/>
        <v>43</v>
      </c>
      <c r="Z34" s="556">
        <f>[1]!srIx2Val(AA$6,Y34,1)</f>
        <v>7.7380952380952375E-5</v>
      </c>
      <c r="AA34" s="559">
        <f>[1]!srIx2Val(AA$6,Y34,5)</f>
        <v>9.2999999999999992E-3</v>
      </c>
      <c r="AB34" s="554">
        <f t="shared" si="6"/>
        <v>-4.9907000000000004</v>
      </c>
      <c r="AC34" s="465">
        <f>IF(AB34&lt;=0,0,[1]!srRng2E(AA$6,AB34))</f>
        <v>0</v>
      </c>
      <c r="AD34" s="466" t="e">
        <f t="shared" si="7"/>
        <v>#N/A</v>
      </c>
      <c r="AE34" s="466">
        <f t="shared" si="8"/>
        <v>7.7380952380952375E-5</v>
      </c>
      <c r="AF34" s="466" t="e">
        <f t="shared" si="9"/>
        <v>#N/A</v>
      </c>
      <c r="AG34" s="466">
        <f t="shared" si="10"/>
        <v>6.4999999999999997E-3</v>
      </c>
    </row>
    <row r="35" spans="2:33">
      <c r="B35" s="35"/>
      <c r="H35" s="488"/>
      <c r="I35" s="466"/>
      <c r="J35" s="482"/>
      <c r="K35" s="353"/>
      <c r="L35" s="353"/>
      <c r="M35" s="353"/>
      <c r="N35" s="35"/>
      <c r="O35" s="35">
        <f t="shared" si="11"/>
        <v>44</v>
      </c>
      <c r="P35" s="556">
        <f>[1]!srIx2Val(Q$6,O35,1)</f>
        <v>8.7499999999999999E-5</v>
      </c>
      <c r="Q35" s="559">
        <f>[1]!srIx2Val(Q$6,O35,5)</f>
        <v>2.3E-3</v>
      </c>
      <c r="R35" s="554">
        <f t="shared" si="0"/>
        <v>-4.9977</v>
      </c>
      <c r="S35" s="465">
        <f>IF(R35&lt;=0,0,[1]!srRng2E(Q$6,R35))</f>
        <v>0</v>
      </c>
      <c r="T35" s="482" t="e">
        <f t="shared" si="1"/>
        <v>#N/A</v>
      </c>
      <c r="U35" s="466">
        <f t="shared" si="2"/>
        <v>8.7499999999999999E-5</v>
      </c>
      <c r="V35" s="466" t="e">
        <f t="shared" si="3"/>
        <v>#N/A</v>
      </c>
      <c r="W35" s="466">
        <f t="shared" si="4"/>
        <v>3.5000000000000001E-3</v>
      </c>
      <c r="Y35" s="35">
        <f t="shared" si="12"/>
        <v>44</v>
      </c>
      <c r="Z35" s="556">
        <f>[1]!srIx2Val(AA$6,Y35,1)</f>
        <v>8.3333333333333331E-5</v>
      </c>
      <c r="AA35" s="559">
        <f>[1]!srIx2Val(AA$6,Y35,5)</f>
        <v>9.7000000000000003E-3</v>
      </c>
      <c r="AB35" s="554">
        <f t="shared" si="6"/>
        <v>-4.9903000000000004</v>
      </c>
      <c r="AC35" s="465">
        <f>IF(AB35&lt;=0,0,[1]!srRng2E(AA$6,AB35))</f>
        <v>0</v>
      </c>
      <c r="AD35" s="466" t="e">
        <f t="shared" si="7"/>
        <v>#N/A</v>
      </c>
      <c r="AE35" s="466">
        <f t="shared" si="8"/>
        <v>8.3333333333333331E-5</v>
      </c>
      <c r="AF35" s="466" t="e">
        <f t="shared" si="9"/>
        <v>#N/A</v>
      </c>
      <c r="AG35" s="466">
        <f t="shared" si="10"/>
        <v>7.0000000000000001E-3</v>
      </c>
    </row>
    <row r="36" spans="2:33">
      <c r="B36" s="35"/>
      <c r="H36" s="488"/>
      <c r="I36" s="466"/>
      <c r="J36" s="482"/>
      <c r="K36" s="353"/>
      <c r="L36" s="353"/>
      <c r="M36" s="353"/>
      <c r="N36" s="35"/>
      <c r="O36" s="35">
        <f t="shared" si="11"/>
        <v>45</v>
      </c>
      <c r="P36" s="556">
        <f>[1]!srIx2Val(Q$6,O36,1)</f>
        <v>9.3750000000000002E-5</v>
      </c>
      <c r="Q36" s="559">
        <f>[1]!srIx2Val(Q$6,O36,5)</f>
        <v>2.4000000000000002E-3</v>
      </c>
      <c r="R36" s="554">
        <f t="shared" si="0"/>
        <v>-4.9976000000000003</v>
      </c>
      <c r="S36" s="465">
        <f>IF(R36&lt;=0,0,[1]!srRng2E(Q$6,R36))</f>
        <v>0</v>
      </c>
      <c r="T36" s="482" t="e">
        <f t="shared" si="1"/>
        <v>#N/A</v>
      </c>
      <c r="U36" s="466">
        <f t="shared" si="2"/>
        <v>9.3750000000000002E-5</v>
      </c>
      <c r="V36" s="466" t="e">
        <f t="shared" si="3"/>
        <v>#N/A</v>
      </c>
      <c r="W36" s="466">
        <f t="shared" si="4"/>
        <v>3.7499999999999999E-3</v>
      </c>
      <c r="Y36" s="35">
        <f t="shared" si="12"/>
        <v>45</v>
      </c>
      <c r="Z36" s="556">
        <f>[1]!srIx2Val(AA$6,Y36,1)</f>
        <v>9.5238095238095241E-5</v>
      </c>
      <c r="AA36" s="559">
        <f>[1]!srIx2Val(AA$6,Y36,5)</f>
        <v>1.0499999999999999E-2</v>
      </c>
      <c r="AB36" s="554">
        <f t="shared" si="6"/>
        <v>-4.9894999999999996</v>
      </c>
      <c r="AC36" s="465">
        <f>IF(AB36&lt;=0,0,[1]!srRng2E(AA$6,AB36))</f>
        <v>0</v>
      </c>
      <c r="AD36" s="466" t="e">
        <f t="shared" si="7"/>
        <v>#N/A</v>
      </c>
      <c r="AE36" s="466">
        <f t="shared" si="8"/>
        <v>9.5238095238095241E-5</v>
      </c>
      <c r="AF36" s="466" t="e">
        <f t="shared" si="9"/>
        <v>#N/A</v>
      </c>
      <c r="AG36" s="466">
        <f t="shared" si="10"/>
        <v>8.0000000000000002E-3</v>
      </c>
    </row>
    <row r="37" spans="2:33" s="9" customFormat="1" ht="12">
      <c r="B37" s="35"/>
      <c r="J37" s="482"/>
      <c r="K37" s="353"/>
      <c r="L37" s="353"/>
      <c r="M37" s="353"/>
      <c r="N37" s="35"/>
      <c r="O37" s="35">
        <f t="shared" si="11"/>
        <v>46</v>
      </c>
      <c r="P37" s="556">
        <f>[1]!srIx2Val(Q$6,O37,1)</f>
        <v>1E-4</v>
      </c>
      <c r="Q37" s="559">
        <f>[1]!srIx2Val(Q$6,O37,5)</f>
        <v>2.5000000000000001E-3</v>
      </c>
      <c r="R37" s="554">
        <f t="shared" si="0"/>
        <v>-4.9974999999999996</v>
      </c>
      <c r="S37" s="465">
        <f>IF(R37&lt;=0,0,[1]!srRng2E(Q$6,R37))</f>
        <v>0</v>
      </c>
      <c r="T37" s="482" t="e">
        <f t="shared" si="1"/>
        <v>#N/A</v>
      </c>
      <c r="U37" s="466">
        <f t="shared" si="2"/>
        <v>1E-4</v>
      </c>
      <c r="V37" s="466" t="e">
        <f t="shared" si="3"/>
        <v>#N/A</v>
      </c>
      <c r="W37" s="466">
        <f t="shared" si="4"/>
        <v>4.0000000000000001E-3</v>
      </c>
      <c r="Y37" s="35">
        <f t="shared" si="12"/>
        <v>46</v>
      </c>
      <c r="Z37" s="556">
        <f>[1]!srIx2Val(AA$6,Y37,1)</f>
        <v>1.0714285714285714E-4</v>
      </c>
      <c r="AA37" s="559">
        <f>[1]!srIx2Val(AA$6,Y37,5)</f>
        <v>1.12E-2</v>
      </c>
      <c r="AB37" s="554">
        <f t="shared" si="6"/>
        <v>-4.9888000000000003</v>
      </c>
      <c r="AC37" s="465">
        <f>IF(AB37&lt;=0,0,[1]!srRng2E(AA$6,AB37))</f>
        <v>0</v>
      </c>
      <c r="AD37" s="466" t="e">
        <f t="shared" si="7"/>
        <v>#N/A</v>
      </c>
      <c r="AE37" s="466">
        <f t="shared" si="8"/>
        <v>1.0714285714285714E-4</v>
      </c>
      <c r="AF37" s="466" t="e">
        <f t="shared" si="9"/>
        <v>#N/A</v>
      </c>
      <c r="AG37" s="466">
        <f t="shared" si="10"/>
        <v>8.9999999999999993E-3</v>
      </c>
    </row>
    <row r="38" spans="2:33" s="9" customFormat="1" ht="12">
      <c r="J38" s="545"/>
      <c r="K38" s="35"/>
      <c r="L38" s="35"/>
      <c r="M38" s="353"/>
      <c r="O38" s="35">
        <f t="shared" si="11"/>
        <v>47</v>
      </c>
      <c r="P38" s="556">
        <f>[1]!srIx2Val(Q$6,O38,1)</f>
        <v>1.125E-4</v>
      </c>
      <c r="Q38" s="559">
        <f>[1]!srIx2Val(Q$6,O38,5)</f>
        <v>2.7000000000000001E-3</v>
      </c>
      <c r="R38" s="554">
        <f t="shared" si="0"/>
        <v>-4.9973000000000001</v>
      </c>
      <c r="S38" s="465">
        <f>IF(R38&lt;=0,0,[1]!srRng2E(Q$6,R38))</f>
        <v>0</v>
      </c>
      <c r="T38" s="482" t="e">
        <f t="shared" si="1"/>
        <v>#N/A</v>
      </c>
      <c r="U38" s="466">
        <f t="shared" si="2"/>
        <v>1.125E-4</v>
      </c>
      <c r="V38" s="466" t="e">
        <f t="shared" si="3"/>
        <v>#N/A</v>
      </c>
      <c r="W38" s="466">
        <f t="shared" si="4"/>
        <v>4.4999999999999997E-3</v>
      </c>
      <c r="Y38" s="35">
        <f t="shared" si="12"/>
        <v>47</v>
      </c>
      <c r="Z38" s="556">
        <f>[1]!srIx2Val(AA$6,Y38,1)</f>
        <v>1.1904761904761905E-4</v>
      </c>
      <c r="AA38" s="559">
        <f>[1]!srIx2Val(AA$6,Y38,5)</f>
        <v>1.2E-2</v>
      </c>
      <c r="AB38" s="554">
        <f t="shared" si="6"/>
        <v>-4.9880000000000004</v>
      </c>
      <c r="AC38" s="465">
        <f>IF(AB38&lt;=0,0,[1]!srRng2E(AA$6,AB38))</f>
        <v>0</v>
      </c>
      <c r="AD38" s="466" t="e">
        <f t="shared" si="7"/>
        <v>#N/A</v>
      </c>
      <c r="AE38" s="466">
        <f t="shared" si="8"/>
        <v>1.1904761904761905E-4</v>
      </c>
      <c r="AF38" s="466" t="e">
        <f t="shared" si="9"/>
        <v>#N/A</v>
      </c>
      <c r="AG38" s="466">
        <f t="shared" si="10"/>
        <v>0.01</v>
      </c>
    </row>
    <row r="39" spans="2:33" s="9" customFormat="1" ht="12">
      <c r="H39" s="488"/>
      <c r="I39" s="466"/>
      <c r="J39" s="482"/>
      <c r="K39" s="353"/>
      <c r="L39" s="353"/>
      <c r="M39" s="353"/>
      <c r="O39" s="35">
        <f t="shared" si="11"/>
        <v>48</v>
      </c>
      <c r="P39" s="556">
        <f>[1]!srIx2Val(Q$6,O39,1)</f>
        <v>1.25E-4</v>
      </c>
      <c r="Q39" s="559">
        <f>[1]!srIx2Val(Q$6,O39,5)</f>
        <v>2.9000000000000002E-3</v>
      </c>
      <c r="R39" s="554">
        <f t="shared" si="0"/>
        <v>-4.9970999999999997</v>
      </c>
      <c r="S39" s="465">
        <f>IF(R39&lt;=0,0,[1]!srRng2E(Q$6,R39))</f>
        <v>0</v>
      </c>
      <c r="T39" s="482" t="e">
        <f t="shared" si="1"/>
        <v>#N/A</v>
      </c>
      <c r="U39" s="466">
        <f t="shared" si="2"/>
        <v>1.25E-4</v>
      </c>
      <c r="V39" s="466" t="e">
        <f t="shared" si="3"/>
        <v>#N/A</v>
      </c>
      <c r="W39" s="466">
        <f t="shared" si="4"/>
        <v>5.0000000000000001E-3</v>
      </c>
      <c r="Y39" s="35">
        <f t="shared" si="12"/>
        <v>48</v>
      </c>
      <c r="Z39" s="556">
        <f>[1]!srIx2Val(AA$6,Y39,1)</f>
        <v>1.3095238095238096E-4</v>
      </c>
      <c r="AA39" s="559">
        <f>[1]!srIx2Val(AA$6,Y39,5)</f>
        <v>1.2699999999999999E-2</v>
      </c>
      <c r="AB39" s="554">
        <f t="shared" si="6"/>
        <v>-4.9873000000000003</v>
      </c>
      <c r="AC39" s="465">
        <f>IF(AB39&lt;=0,0,[1]!srRng2E(AA$6,AB39))</f>
        <v>0</v>
      </c>
      <c r="AD39" s="466" t="e">
        <f t="shared" si="7"/>
        <v>#N/A</v>
      </c>
      <c r="AE39" s="466">
        <f t="shared" si="8"/>
        <v>1.3095238095238096E-4</v>
      </c>
      <c r="AF39" s="466" t="e">
        <f t="shared" si="9"/>
        <v>#N/A</v>
      </c>
      <c r="AG39" s="466">
        <f t="shared" si="10"/>
        <v>1.1000000000000001E-2</v>
      </c>
    </row>
    <row r="40" spans="2:33" s="9" customFormat="1" ht="12">
      <c r="H40" s="488"/>
      <c r="I40" s="466"/>
      <c r="J40" s="482"/>
      <c r="K40" s="353"/>
      <c r="L40" s="353"/>
      <c r="M40" s="353"/>
      <c r="O40" s="35">
        <f t="shared" si="11"/>
        <v>49</v>
      </c>
      <c r="P40" s="556">
        <f>[1]!srIx2Val(Q$6,O40,1)</f>
        <v>1.3749999999999998E-4</v>
      </c>
      <c r="Q40" s="559">
        <f>[1]!srIx2Val(Q$6,O40,5)</f>
        <v>3.0999999999999999E-3</v>
      </c>
      <c r="R40" s="554">
        <f t="shared" si="0"/>
        <v>-4.9969000000000001</v>
      </c>
      <c r="S40" s="465">
        <f>IF(R40&lt;=0,0,[1]!srRng2E(Q$6,R40))</f>
        <v>0</v>
      </c>
      <c r="T40" s="482" t="e">
        <f t="shared" si="1"/>
        <v>#N/A</v>
      </c>
      <c r="U40" s="466">
        <f t="shared" si="2"/>
        <v>1.3749999999999998E-4</v>
      </c>
      <c r="V40" s="466" t="e">
        <f t="shared" si="3"/>
        <v>#N/A</v>
      </c>
      <c r="W40" s="466">
        <f t="shared" si="4"/>
        <v>5.4999999999999997E-3</v>
      </c>
      <c r="Y40" s="35">
        <f t="shared" si="12"/>
        <v>49</v>
      </c>
      <c r="Z40" s="556">
        <f>[1]!srIx2Val(AA$6,Y40,1)</f>
        <v>1.4285714285714287E-4</v>
      </c>
      <c r="AA40" s="559">
        <f>[1]!srIx2Val(AA$6,Y40,5)</f>
        <v>1.34E-2</v>
      </c>
      <c r="AB40" s="554">
        <f t="shared" si="6"/>
        <v>-4.9866000000000001</v>
      </c>
      <c r="AC40" s="465">
        <f>IF(AB40&lt;=0,0,[1]!srRng2E(AA$6,AB40))</f>
        <v>0</v>
      </c>
      <c r="AD40" s="466" t="e">
        <f t="shared" si="7"/>
        <v>#N/A</v>
      </c>
      <c r="AE40" s="466">
        <f t="shared" si="8"/>
        <v>1.4285714285714287E-4</v>
      </c>
      <c r="AF40" s="466" t="e">
        <f t="shared" si="9"/>
        <v>#N/A</v>
      </c>
      <c r="AG40" s="466">
        <f t="shared" si="10"/>
        <v>1.2E-2</v>
      </c>
    </row>
    <row r="41" spans="2:33" s="9" customFormat="1" ht="12">
      <c r="H41" s="488"/>
      <c r="I41" s="466"/>
      <c r="J41" s="482"/>
      <c r="K41" s="353"/>
      <c r="L41" s="353"/>
      <c r="M41" s="353"/>
      <c r="O41" s="35">
        <f t="shared" si="11"/>
        <v>50</v>
      </c>
      <c r="P41" s="556">
        <f>[1]!srIx2Val(Q$6,O41,1)</f>
        <v>1.5000000000000001E-4</v>
      </c>
      <c r="Q41" s="559">
        <f>[1]!srIx2Val(Q$6,O41,5)</f>
        <v>3.3E-3</v>
      </c>
      <c r="R41" s="554">
        <f t="shared" si="0"/>
        <v>-4.9966999999999997</v>
      </c>
      <c r="S41" s="465">
        <f>IF(R41&lt;=0,0,[1]!srRng2E(Q$6,R41))</f>
        <v>0</v>
      </c>
      <c r="T41" s="482" t="e">
        <f t="shared" si="1"/>
        <v>#N/A</v>
      </c>
      <c r="U41" s="466">
        <f t="shared" si="2"/>
        <v>1.5000000000000001E-4</v>
      </c>
      <c r="V41" s="466" t="e">
        <f t="shared" si="3"/>
        <v>#N/A</v>
      </c>
      <c r="W41" s="466">
        <f t="shared" si="4"/>
        <v>6.0000000000000001E-3</v>
      </c>
      <c r="Y41" s="35">
        <f t="shared" si="12"/>
        <v>50</v>
      </c>
      <c r="Z41" s="556">
        <f>[1]!srIx2Val(AA$6,Y41,1)</f>
        <v>1.5476190476190475E-4</v>
      </c>
      <c r="AA41" s="559">
        <f>[1]!srIx2Val(AA$6,Y41,5)</f>
        <v>1.4099999999999998E-2</v>
      </c>
      <c r="AB41" s="554">
        <f t="shared" si="6"/>
        <v>-4.9859</v>
      </c>
      <c r="AC41" s="465">
        <f>IF(AB41&lt;=0,0,[1]!srRng2E(AA$6,AB41))</f>
        <v>0</v>
      </c>
      <c r="AD41" s="466" t="e">
        <f t="shared" si="7"/>
        <v>#N/A</v>
      </c>
      <c r="AE41" s="466">
        <f t="shared" si="8"/>
        <v>1.5476190476190475E-4</v>
      </c>
      <c r="AF41" s="466" t="e">
        <f t="shared" si="9"/>
        <v>#N/A</v>
      </c>
      <c r="AG41" s="466">
        <f t="shared" si="10"/>
        <v>1.2999999999999999E-2</v>
      </c>
    </row>
    <row r="42" spans="2:33" s="9" customFormat="1" ht="12">
      <c r="C42" s="534"/>
      <c r="D42" s="489"/>
      <c r="E42" s="535"/>
      <c r="F42" s="535"/>
      <c r="G42" s="535"/>
      <c r="H42" s="488"/>
      <c r="I42" s="466"/>
      <c r="J42" s="482"/>
      <c r="K42" s="353"/>
      <c r="L42" s="353"/>
      <c r="M42" s="353"/>
      <c r="O42" s="35">
        <f t="shared" si="11"/>
        <v>51</v>
      </c>
      <c r="P42" s="556">
        <f>[1]!srIx2Val(Q$6,O42,1)</f>
        <v>1.6249999999999999E-4</v>
      </c>
      <c r="Q42" s="559">
        <f>[1]!srIx2Val(Q$6,O42,5)</f>
        <v>3.5000000000000005E-3</v>
      </c>
      <c r="R42" s="554">
        <f t="shared" si="0"/>
        <v>-4.9965000000000002</v>
      </c>
      <c r="S42" s="465">
        <f>IF(R42&lt;=0,0,[1]!srRng2E(Q$6,R42))</f>
        <v>0</v>
      </c>
      <c r="T42" s="482" t="e">
        <f t="shared" si="1"/>
        <v>#N/A</v>
      </c>
      <c r="U42" s="466">
        <f t="shared" si="2"/>
        <v>1.6249999999999999E-4</v>
      </c>
      <c r="V42" s="466" t="e">
        <f t="shared" si="3"/>
        <v>#N/A</v>
      </c>
      <c r="W42" s="466">
        <f t="shared" si="4"/>
        <v>6.4999999999999997E-3</v>
      </c>
      <c r="Y42" s="35">
        <f t="shared" si="12"/>
        <v>51</v>
      </c>
      <c r="Z42" s="556">
        <f>[1]!srIx2Val(AA$6,Y42,1)</f>
        <v>1.6666666666666666E-4</v>
      </c>
      <c r="AA42" s="559">
        <f>[1]!srIx2Val(AA$6,Y42,5)</f>
        <v>1.4799999999999999E-2</v>
      </c>
      <c r="AB42" s="554">
        <f t="shared" si="6"/>
        <v>-4.9851999999999999</v>
      </c>
      <c r="AC42" s="465">
        <f>IF(AB42&lt;=0,0,[1]!srRng2E(AA$6,AB42))</f>
        <v>0</v>
      </c>
      <c r="AD42" s="466" t="e">
        <f t="shared" si="7"/>
        <v>#N/A</v>
      </c>
      <c r="AE42" s="466">
        <f t="shared" si="8"/>
        <v>1.6666666666666666E-4</v>
      </c>
      <c r="AF42" s="466" t="e">
        <f t="shared" si="9"/>
        <v>#N/A</v>
      </c>
      <c r="AG42" s="466">
        <f t="shared" si="10"/>
        <v>1.4E-2</v>
      </c>
    </row>
    <row r="43" spans="2:33" s="9" customFormat="1" ht="12">
      <c r="C43" s="534"/>
      <c r="D43" s="537"/>
      <c r="E43" s="538"/>
      <c r="F43" s="488"/>
      <c r="G43" s="536"/>
      <c r="H43" s="488"/>
      <c r="I43" s="466"/>
      <c r="J43" s="482"/>
      <c r="K43" s="353"/>
      <c r="L43" s="353"/>
      <c r="M43" s="353"/>
      <c r="O43" s="35">
        <f t="shared" si="11"/>
        <v>52</v>
      </c>
      <c r="P43" s="556">
        <f>[1]!srIx2Val(Q$6,O43,1)</f>
        <v>1.75E-4</v>
      </c>
      <c r="Q43" s="559">
        <f>[1]!srIx2Val(Q$6,O43,5)</f>
        <v>3.6999999999999997E-3</v>
      </c>
      <c r="R43" s="554">
        <f t="shared" si="0"/>
        <v>-4.9962999999999997</v>
      </c>
      <c r="S43" s="465">
        <f>IF(R43&lt;=0,0,[1]!srRng2E(Q$6,R43))</f>
        <v>0</v>
      </c>
      <c r="T43" s="482" t="e">
        <f t="shared" si="1"/>
        <v>#N/A</v>
      </c>
      <c r="U43" s="466">
        <f t="shared" si="2"/>
        <v>1.75E-4</v>
      </c>
      <c r="V43" s="466" t="e">
        <f t="shared" si="3"/>
        <v>#N/A</v>
      </c>
      <c r="W43" s="466">
        <f t="shared" si="4"/>
        <v>7.0000000000000001E-3</v>
      </c>
      <c r="Y43" s="35">
        <f t="shared" si="12"/>
        <v>52</v>
      </c>
      <c r="Z43" s="556">
        <f>[1]!srIx2Val(AA$6,Y43,1)</f>
        <v>1.7857142857142857E-4</v>
      </c>
      <c r="AA43" s="559">
        <f>[1]!srIx2Val(AA$6,Y43,5)</f>
        <v>1.55E-2</v>
      </c>
      <c r="AB43" s="554">
        <f t="shared" si="6"/>
        <v>-4.9844999999999997</v>
      </c>
      <c r="AC43" s="465">
        <f>IF(AB43&lt;=0,0,[1]!srRng2E(AA$6,AB43))</f>
        <v>0</v>
      </c>
      <c r="AD43" s="466" t="e">
        <f t="shared" si="7"/>
        <v>#N/A</v>
      </c>
      <c r="AE43" s="466">
        <f t="shared" si="8"/>
        <v>1.7857142857142857E-4</v>
      </c>
      <c r="AF43" s="466" t="e">
        <f t="shared" si="9"/>
        <v>#N/A</v>
      </c>
      <c r="AG43" s="466">
        <f t="shared" si="10"/>
        <v>1.4999999999999999E-2</v>
      </c>
    </row>
    <row r="44" spans="2:33" s="9" customFormat="1" ht="12">
      <c r="E44" s="365"/>
      <c r="F44" s="35"/>
      <c r="G44" s="465"/>
      <c r="H44" s="35"/>
      <c r="I44" s="466"/>
      <c r="J44" s="482"/>
      <c r="K44" s="353"/>
      <c r="L44" s="353"/>
      <c r="M44" s="353"/>
      <c r="O44" s="35">
        <f t="shared" si="11"/>
        <v>53</v>
      </c>
      <c r="P44" s="556">
        <f>[1]!srIx2Val(Q$6,O44,1)</f>
        <v>2.0000000000000001E-4</v>
      </c>
      <c r="Q44" s="559">
        <f>[1]!srIx2Val(Q$6,O44,5)</f>
        <v>4.0000000000000001E-3</v>
      </c>
      <c r="R44" s="554">
        <f t="shared" si="0"/>
        <v>-4.9960000000000004</v>
      </c>
      <c r="S44" s="465">
        <f>IF(R44&lt;=0,0,[1]!srRng2E(Q$6,R44))</f>
        <v>0</v>
      </c>
      <c r="T44" s="482" t="e">
        <f t="shared" si="1"/>
        <v>#N/A</v>
      </c>
      <c r="U44" s="466">
        <f t="shared" si="2"/>
        <v>2.0000000000000001E-4</v>
      </c>
      <c r="V44" s="466" t="e">
        <f t="shared" si="3"/>
        <v>#N/A</v>
      </c>
      <c r="W44" s="466">
        <f t="shared" si="4"/>
        <v>8.0000000000000002E-3</v>
      </c>
      <c r="Y44" s="35">
        <f t="shared" si="12"/>
        <v>53</v>
      </c>
      <c r="Z44" s="556">
        <f>[1]!srIx2Val(AA$6,Y44,1)</f>
        <v>1.9047619047619048E-4</v>
      </c>
      <c r="AA44" s="559">
        <f>[1]!srIx2Val(AA$6,Y44,5)</f>
        <v>1.61E-2</v>
      </c>
      <c r="AB44" s="554">
        <f t="shared" si="6"/>
        <v>-4.9839000000000002</v>
      </c>
      <c r="AC44" s="465">
        <f>IF(AB44&lt;=0,0,[1]!srRng2E(AA$6,AB44))</f>
        <v>0</v>
      </c>
      <c r="AD44" s="466" t="e">
        <f t="shared" si="7"/>
        <v>#N/A</v>
      </c>
      <c r="AE44" s="466">
        <f t="shared" si="8"/>
        <v>1.9047619047619048E-4</v>
      </c>
      <c r="AF44" s="466" t="e">
        <f t="shared" si="9"/>
        <v>#N/A</v>
      </c>
      <c r="AG44" s="466">
        <f t="shared" si="10"/>
        <v>1.6E-2</v>
      </c>
    </row>
    <row r="45" spans="2:33" s="9" customFormat="1" ht="12">
      <c r="F45" s="35"/>
      <c r="G45" s="465"/>
      <c r="H45" s="35"/>
      <c r="I45" s="466"/>
      <c r="J45" s="482"/>
      <c r="K45" s="353"/>
      <c r="L45" s="353"/>
      <c r="M45" s="353"/>
      <c r="O45" s="35">
        <f t="shared" si="11"/>
        <v>54</v>
      </c>
      <c r="P45" s="556">
        <f>[1]!srIx2Val(Q$6,O45,1)</f>
        <v>2.2499999999999999E-4</v>
      </c>
      <c r="Q45" s="559">
        <f>[1]!srIx2Val(Q$6,O45,5)</f>
        <v>4.3999999999999994E-3</v>
      </c>
      <c r="R45" s="554">
        <f t="shared" si="0"/>
        <v>-4.9955999999999996</v>
      </c>
      <c r="S45" s="465">
        <f>IF(R45&lt;=0,0,[1]!srRng2E(Q$6,R45))</f>
        <v>0</v>
      </c>
      <c r="T45" s="482" t="e">
        <f t="shared" si="1"/>
        <v>#N/A</v>
      </c>
      <c r="U45" s="466">
        <f t="shared" si="2"/>
        <v>2.2499999999999999E-4</v>
      </c>
      <c r="V45" s="466" t="e">
        <f t="shared" si="3"/>
        <v>#N/A</v>
      </c>
      <c r="W45" s="466">
        <f t="shared" si="4"/>
        <v>8.9999999999999993E-3</v>
      </c>
      <c r="Y45" s="35">
        <f t="shared" si="12"/>
        <v>54</v>
      </c>
      <c r="Z45" s="556">
        <f>[1]!srIx2Val(AA$6,Y45,1)</f>
        <v>2.0238095238095239E-4</v>
      </c>
      <c r="AA45" s="559">
        <f>[1]!srIx2Val(AA$6,Y45,5)</f>
        <v>1.6800000000000002E-2</v>
      </c>
      <c r="AB45" s="554">
        <f t="shared" si="6"/>
        <v>-4.9832000000000001</v>
      </c>
      <c r="AC45" s="465">
        <f>IF(AB45&lt;=0,0,[1]!srRng2E(AA$6,AB45))</f>
        <v>0</v>
      </c>
      <c r="AD45" s="466" t="e">
        <f t="shared" si="7"/>
        <v>#N/A</v>
      </c>
      <c r="AE45" s="466">
        <f t="shared" si="8"/>
        <v>2.0238095238095239E-4</v>
      </c>
      <c r="AF45" s="466" t="e">
        <f t="shared" si="9"/>
        <v>#N/A</v>
      </c>
      <c r="AG45" s="466">
        <f t="shared" si="10"/>
        <v>1.7000000000000001E-2</v>
      </c>
    </row>
    <row r="46" spans="2:33" s="9" customFormat="1" ht="12">
      <c r="E46" s="365"/>
      <c r="O46" s="35">
        <f t="shared" si="11"/>
        <v>55</v>
      </c>
      <c r="P46" s="556">
        <f>[1]!srIx2Val(Q$6,O46,1)</f>
        <v>2.5000000000000001E-4</v>
      </c>
      <c r="Q46" s="559">
        <f>[1]!srIx2Val(Q$6,O46,5)</f>
        <v>4.7000000000000002E-3</v>
      </c>
      <c r="R46" s="554">
        <f t="shared" si="0"/>
        <v>-4.9953000000000003</v>
      </c>
      <c r="S46" s="465">
        <f>IF(R46&lt;=0,0,[1]!srRng2E(Q$6,R46))</f>
        <v>0</v>
      </c>
      <c r="T46" s="482" t="e">
        <f t="shared" si="1"/>
        <v>#N/A</v>
      </c>
      <c r="U46" s="466">
        <f t="shared" si="2"/>
        <v>2.5000000000000001E-4</v>
      </c>
      <c r="V46" s="466" t="e">
        <f t="shared" si="3"/>
        <v>#N/A</v>
      </c>
      <c r="W46" s="466">
        <f t="shared" si="4"/>
        <v>0.01</v>
      </c>
      <c r="Y46" s="35">
        <f t="shared" si="12"/>
        <v>55</v>
      </c>
      <c r="Z46" s="556">
        <f>[1]!srIx2Val(AA$6,Y46,1)</f>
        <v>2.1428571428571427E-4</v>
      </c>
      <c r="AA46" s="559">
        <f>[1]!srIx2Val(AA$6,Y46,5)</f>
        <v>1.7499999999999998E-2</v>
      </c>
      <c r="AB46" s="554">
        <f t="shared" si="6"/>
        <v>-4.9824999999999999</v>
      </c>
      <c r="AC46" s="465">
        <f>IF(AB46&lt;=0,0,[1]!srRng2E(AA$6,AB46))</f>
        <v>0</v>
      </c>
      <c r="AD46" s="466" t="e">
        <f t="shared" si="7"/>
        <v>#N/A</v>
      </c>
      <c r="AE46" s="466">
        <f t="shared" si="8"/>
        <v>2.1428571428571427E-4</v>
      </c>
      <c r="AF46" s="466" t="e">
        <f t="shared" si="9"/>
        <v>#N/A</v>
      </c>
      <c r="AG46" s="466">
        <f t="shared" si="10"/>
        <v>1.7999999999999999E-2</v>
      </c>
    </row>
    <row r="47" spans="2:33" s="9" customFormat="1" ht="12">
      <c r="O47" s="35">
        <f t="shared" si="11"/>
        <v>56</v>
      </c>
      <c r="P47" s="556">
        <f>[1]!srIx2Val(Q$6,O47,1)</f>
        <v>2.7499999999999996E-4</v>
      </c>
      <c r="Q47" s="559">
        <f>[1]!srIx2Val(Q$6,O47,5)</f>
        <v>5.0000000000000001E-3</v>
      </c>
      <c r="R47" s="554">
        <f t="shared" si="0"/>
        <v>-4.9950000000000001</v>
      </c>
      <c r="S47" s="465">
        <f>IF(R47&lt;=0,0,[1]!srRng2E(Q$6,R47))</f>
        <v>0</v>
      </c>
      <c r="T47" s="482" t="e">
        <f t="shared" si="1"/>
        <v>#N/A</v>
      </c>
      <c r="U47" s="466">
        <f t="shared" si="2"/>
        <v>2.7499999999999996E-4</v>
      </c>
      <c r="V47" s="466" t="e">
        <f t="shared" si="3"/>
        <v>#N/A</v>
      </c>
      <c r="W47" s="466">
        <f t="shared" si="4"/>
        <v>1.0999999999999999E-2</v>
      </c>
      <c r="Y47" s="35">
        <f t="shared" si="12"/>
        <v>56</v>
      </c>
      <c r="Z47" s="556">
        <f>[1]!srIx2Val(AA$6,Y47,1)</f>
        <v>2.380952380952381E-4</v>
      </c>
      <c r="AA47" s="559">
        <f>[1]!srIx2Val(AA$6,Y47,5)</f>
        <v>1.8700000000000001E-2</v>
      </c>
      <c r="AB47" s="554">
        <f t="shared" si="6"/>
        <v>-4.9813000000000001</v>
      </c>
      <c r="AC47" s="465">
        <f>IF(AB47&lt;=0,0,[1]!srRng2E(AA$6,AB47))</f>
        <v>0</v>
      </c>
      <c r="AD47" s="466" t="e">
        <f t="shared" si="7"/>
        <v>#N/A</v>
      </c>
      <c r="AE47" s="466">
        <f t="shared" si="8"/>
        <v>2.380952380952381E-4</v>
      </c>
      <c r="AF47" s="466" t="e">
        <f t="shared" si="9"/>
        <v>#N/A</v>
      </c>
      <c r="AG47" s="466">
        <f t="shared" si="10"/>
        <v>0.02</v>
      </c>
    </row>
    <row r="48" spans="2:33" s="9" customFormat="1" ht="12">
      <c r="E48" s="365"/>
      <c r="O48" s="35">
        <f t="shared" si="11"/>
        <v>57</v>
      </c>
      <c r="P48" s="556">
        <f>[1]!srIx2Val(Q$6,O48,1)</f>
        <v>3.0000000000000003E-4</v>
      </c>
      <c r="Q48" s="559">
        <f>[1]!srIx2Val(Q$6,O48,5)</f>
        <v>5.3E-3</v>
      </c>
      <c r="R48" s="554">
        <f t="shared" si="0"/>
        <v>-4.9946999999999999</v>
      </c>
      <c r="S48" s="465">
        <f>IF(R48&lt;=0,0,[1]!srRng2E(Q$6,R48))</f>
        <v>0</v>
      </c>
      <c r="T48" s="482" t="e">
        <f t="shared" si="1"/>
        <v>#N/A</v>
      </c>
      <c r="U48" s="466">
        <f t="shared" si="2"/>
        <v>3.0000000000000003E-4</v>
      </c>
      <c r="V48" s="466" t="e">
        <f t="shared" si="3"/>
        <v>#N/A</v>
      </c>
      <c r="W48" s="466">
        <f t="shared" si="4"/>
        <v>1.2E-2</v>
      </c>
      <c r="Y48" s="35">
        <f t="shared" si="12"/>
        <v>57</v>
      </c>
      <c r="Z48" s="556">
        <f>[1]!srIx2Val(AA$6,Y48,1)</f>
        <v>2.6785714285714287E-4</v>
      </c>
      <c r="AA48" s="559">
        <f>[1]!srIx2Val(AA$6,Y48,5)</f>
        <v>2.0300000000000002E-2</v>
      </c>
      <c r="AB48" s="554">
        <f t="shared" si="6"/>
        <v>-4.9797000000000002</v>
      </c>
      <c r="AC48" s="465">
        <f>IF(AB48&lt;=0,0,[1]!srRng2E(AA$6,AB48))</f>
        <v>0</v>
      </c>
      <c r="AD48" s="466" t="e">
        <f t="shared" si="7"/>
        <v>#N/A</v>
      </c>
      <c r="AE48" s="466">
        <f t="shared" si="8"/>
        <v>2.6785714285714287E-4</v>
      </c>
      <c r="AF48" s="466" t="e">
        <f t="shared" si="9"/>
        <v>#N/A</v>
      </c>
      <c r="AG48" s="466">
        <f t="shared" si="10"/>
        <v>2.2500000000000003E-2</v>
      </c>
    </row>
    <row r="49" spans="2:33">
      <c r="B49" s="9"/>
      <c r="C49" s="9"/>
      <c r="D49" s="9"/>
      <c r="E49" s="365"/>
      <c r="N49" s="9"/>
      <c r="O49" s="35">
        <f t="shared" si="11"/>
        <v>58</v>
      </c>
      <c r="P49" s="556">
        <f>[1]!srIx2Val(Q$6,O49,1)</f>
        <v>3.2499999999999999E-4</v>
      </c>
      <c r="Q49" s="559">
        <f>[1]!srIx2Val(Q$6,O49,5)</f>
        <v>5.7000000000000002E-3</v>
      </c>
      <c r="R49" s="554">
        <f t="shared" si="0"/>
        <v>-4.9943</v>
      </c>
      <c r="S49" s="465">
        <f>IF(R49&lt;=0,0,[1]!srRng2E(Q$6,R49))</f>
        <v>0</v>
      </c>
      <c r="T49" s="482" t="e">
        <f t="shared" si="1"/>
        <v>#N/A</v>
      </c>
      <c r="U49" s="466">
        <f t="shared" si="2"/>
        <v>3.2499999999999999E-4</v>
      </c>
      <c r="V49" s="466" t="e">
        <f t="shared" si="3"/>
        <v>#N/A</v>
      </c>
      <c r="W49" s="466">
        <f t="shared" si="4"/>
        <v>1.2999999999999999E-2</v>
      </c>
      <c r="Y49" s="35">
        <f t="shared" si="12"/>
        <v>58</v>
      </c>
      <c r="Z49" s="556">
        <f>[1]!srIx2Val(AA$6,Y49,1)</f>
        <v>2.9761904761904765E-4</v>
      </c>
      <c r="AA49" s="559">
        <f>[1]!srIx2Val(AA$6,Y49,5)</f>
        <v>2.18E-2</v>
      </c>
      <c r="AB49" s="554">
        <f t="shared" si="6"/>
        <v>-4.9782000000000002</v>
      </c>
      <c r="AC49" s="465">
        <f>IF(AB49&lt;=0,0,[1]!srRng2E(AA$6,AB49))</f>
        <v>0</v>
      </c>
      <c r="AD49" s="466" t="e">
        <f t="shared" si="7"/>
        <v>#N/A</v>
      </c>
      <c r="AE49" s="466">
        <f t="shared" si="8"/>
        <v>2.9761904761904765E-4</v>
      </c>
      <c r="AF49" s="466" t="e">
        <f t="shared" si="9"/>
        <v>#N/A</v>
      </c>
      <c r="AG49" s="466">
        <f t="shared" si="10"/>
        <v>2.5000000000000001E-2</v>
      </c>
    </row>
    <row r="50" spans="2:33">
      <c r="B50" s="9"/>
      <c r="C50" s="9"/>
      <c r="D50" s="9"/>
      <c r="N50" s="9"/>
      <c r="O50" s="35">
        <f t="shared" si="11"/>
        <v>59</v>
      </c>
      <c r="P50" s="556">
        <f>[1]!srIx2Val(Q$6,O50,1)</f>
        <v>3.5E-4</v>
      </c>
      <c r="Q50" s="559">
        <f>[1]!srIx2Val(Q$6,O50,5)</f>
        <v>6.0000000000000001E-3</v>
      </c>
      <c r="R50" s="554">
        <f t="shared" si="0"/>
        <v>-4.9939999999999998</v>
      </c>
      <c r="S50" s="465">
        <f>IF(R50&lt;=0,0,[1]!srRng2E(Q$6,R50))</f>
        <v>0</v>
      </c>
      <c r="T50" s="482" t="e">
        <f t="shared" si="1"/>
        <v>#N/A</v>
      </c>
      <c r="U50" s="466">
        <f t="shared" si="2"/>
        <v>3.5E-4</v>
      </c>
      <c r="V50" s="466" t="e">
        <f t="shared" si="3"/>
        <v>#N/A</v>
      </c>
      <c r="W50" s="466">
        <f t="shared" si="4"/>
        <v>1.4E-2</v>
      </c>
      <c r="Y50" s="35">
        <f t="shared" si="12"/>
        <v>59</v>
      </c>
      <c r="Z50" s="556">
        <f>[1]!srIx2Val(AA$6,Y50,1)</f>
        <v>3.2738095238095237E-4</v>
      </c>
      <c r="AA50" s="559">
        <f>[1]!srIx2Val(AA$6,Y50,5)</f>
        <v>2.3300000000000001E-2</v>
      </c>
      <c r="AB50" s="554">
        <f t="shared" si="6"/>
        <v>-4.9767000000000001</v>
      </c>
      <c r="AC50" s="465">
        <f>IF(AB50&lt;=0,0,[1]!srRng2E(AA$6,AB50))</f>
        <v>0</v>
      </c>
      <c r="AD50" s="466" t="e">
        <f t="shared" si="7"/>
        <v>#N/A</v>
      </c>
      <c r="AE50" s="466">
        <f t="shared" si="8"/>
        <v>3.2738095238095237E-4</v>
      </c>
      <c r="AF50" s="466" t="e">
        <f t="shared" si="9"/>
        <v>#N/A</v>
      </c>
      <c r="AG50" s="466">
        <f t="shared" si="10"/>
        <v>2.75E-2</v>
      </c>
    </row>
    <row r="51" spans="2:33">
      <c r="B51" s="9"/>
      <c r="C51" s="9"/>
      <c r="D51" s="9"/>
      <c r="N51" s="9"/>
      <c r="O51" s="35">
        <f t="shared" si="11"/>
        <v>60</v>
      </c>
      <c r="P51" s="556">
        <f>[1]!srIx2Val(Q$6,O51,1)</f>
        <v>3.7500000000000001E-4</v>
      </c>
      <c r="Q51" s="559">
        <f>[1]!srIx2Val(Q$6,O51,5)</f>
        <v>6.3E-3</v>
      </c>
      <c r="R51" s="554">
        <f t="shared" si="0"/>
        <v>-4.9936999999999996</v>
      </c>
      <c r="S51" s="465">
        <f>IF(R51&lt;=0,0,[1]!srRng2E(Q$6,R51))</f>
        <v>0</v>
      </c>
      <c r="T51" s="482" t="e">
        <f t="shared" si="1"/>
        <v>#N/A</v>
      </c>
      <c r="U51" s="466">
        <f t="shared" si="2"/>
        <v>3.7500000000000001E-4</v>
      </c>
      <c r="V51" s="466" t="e">
        <f t="shared" si="3"/>
        <v>#N/A</v>
      </c>
      <c r="W51" s="466">
        <f t="shared" si="4"/>
        <v>1.4999999999999999E-2</v>
      </c>
      <c r="Y51" s="35">
        <f t="shared" si="12"/>
        <v>60</v>
      </c>
      <c r="Z51" s="556">
        <f>[1]!srIx2Val(AA$6,Y51,1)</f>
        <v>3.5714285714285714E-4</v>
      </c>
      <c r="AA51" s="559">
        <f>[1]!srIx2Val(AA$6,Y51,5)</f>
        <v>2.4799999999999999E-2</v>
      </c>
      <c r="AB51" s="554">
        <f t="shared" si="6"/>
        <v>-4.9752000000000001</v>
      </c>
      <c r="AC51" s="465">
        <f>IF(AB51&lt;=0,0,[1]!srRng2E(AA$6,AB51))</f>
        <v>0</v>
      </c>
      <c r="AD51" s="466" t="e">
        <f t="shared" si="7"/>
        <v>#N/A</v>
      </c>
      <c r="AE51" s="466">
        <f t="shared" si="8"/>
        <v>3.5714285714285714E-4</v>
      </c>
      <c r="AF51" s="466" t="e">
        <f t="shared" si="9"/>
        <v>#N/A</v>
      </c>
      <c r="AG51" s="466">
        <f t="shared" si="10"/>
        <v>0.03</v>
      </c>
    </row>
    <row r="52" spans="2:33">
      <c r="B52" s="9"/>
      <c r="C52" s="9"/>
      <c r="D52" s="9"/>
      <c r="N52" s="9"/>
      <c r="O52" s="35">
        <f t="shared" si="11"/>
        <v>61</v>
      </c>
      <c r="P52" s="556">
        <f>[1]!srIx2Val(Q$6,O52,1)</f>
        <v>4.0000000000000002E-4</v>
      </c>
      <c r="Q52" s="559">
        <f>[1]!srIx2Val(Q$6,O52,5)</f>
        <v>6.6E-3</v>
      </c>
      <c r="R52" s="554">
        <f t="shared" si="0"/>
        <v>-4.9934000000000003</v>
      </c>
      <c r="S52" s="465">
        <f>IF(R52&lt;=0,0,[1]!srRng2E(Q$6,R52))</f>
        <v>0</v>
      </c>
      <c r="T52" s="482" t="e">
        <f t="shared" si="1"/>
        <v>#N/A</v>
      </c>
      <c r="U52" s="466">
        <f t="shared" si="2"/>
        <v>4.0000000000000002E-4</v>
      </c>
      <c r="V52" s="466" t="e">
        <f t="shared" si="3"/>
        <v>#N/A</v>
      </c>
      <c r="W52" s="466">
        <f t="shared" si="4"/>
        <v>1.6E-2</v>
      </c>
      <c r="Y52" s="35">
        <f t="shared" si="12"/>
        <v>61</v>
      </c>
      <c r="Z52" s="556">
        <f>[1]!srIx2Val(AA$6,Y52,1)</f>
        <v>3.8690476190476192E-4</v>
      </c>
      <c r="AA52" s="559">
        <f>[1]!srIx2Val(AA$6,Y52,5)</f>
        <v>2.6200000000000001E-2</v>
      </c>
      <c r="AB52" s="554">
        <f t="shared" si="6"/>
        <v>-4.9737999999999998</v>
      </c>
      <c r="AC52" s="465">
        <f>IF(AB52&lt;=0,0,[1]!srRng2E(AA$6,AB52))</f>
        <v>0</v>
      </c>
      <c r="AD52" s="466" t="e">
        <f t="shared" si="7"/>
        <v>#N/A</v>
      </c>
      <c r="AE52" s="466">
        <f t="shared" si="8"/>
        <v>3.8690476190476192E-4</v>
      </c>
      <c r="AF52" s="466" t="e">
        <f t="shared" si="9"/>
        <v>#N/A</v>
      </c>
      <c r="AG52" s="466">
        <f t="shared" si="10"/>
        <v>3.2500000000000001E-2</v>
      </c>
    </row>
    <row r="53" spans="2:33">
      <c r="B53" s="9"/>
      <c r="C53" s="9"/>
      <c r="D53" s="9"/>
      <c r="N53" s="9"/>
      <c r="O53" s="35">
        <f t="shared" si="11"/>
        <v>62</v>
      </c>
      <c r="P53" s="556">
        <f>[1]!srIx2Val(Q$6,O53,1)</f>
        <v>4.2500000000000003E-4</v>
      </c>
      <c r="Q53" s="559">
        <f>[1]!srIx2Val(Q$6,O53,5)</f>
        <v>6.9000000000000008E-3</v>
      </c>
      <c r="R53" s="554">
        <f t="shared" si="0"/>
        <v>-4.9931000000000001</v>
      </c>
      <c r="S53" s="465">
        <f>IF(R53&lt;=0,0,[1]!srRng2E(Q$6,R53))</f>
        <v>0</v>
      </c>
      <c r="T53" s="482" t="e">
        <f t="shared" si="1"/>
        <v>#N/A</v>
      </c>
      <c r="U53" s="466">
        <f t="shared" si="2"/>
        <v>4.2500000000000003E-4</v>
      </c>
      <c r="V53" s="466" t="e">
        <f t="shared" si="3"/>
        <v>#N/A</v>
      </c>
      <c r="W53" s="466">
        <f t="shared" si="4"/>
        <v>1.7000000000000001E-2</v>
      </c>
      <c r="Y53" s="35">
        <f t="shared" si="12"/>
        <v>62</v>
      </c>
      <c r="Z53" s="556">
        <f>[1]!srIx2Val(AA$6,Y53,1)</f>
        <v>4.1666666666666669E-4</v>
      </c>
      <c r="AA53" s="559">
        <f>[1]!srIx2Val(AA$6,Y53,5)</f>
        <v>2.7700000000000002E-2</v>
      </c>
      <c r="AB53" s="554">
        <f t="shared" si="6"/>
        <v>-4.9722999999999997</v>
      </c>
      <c r="AC53" s="465">
        <f>IF(AB53&lt;=0,0,[1]!srRng2E(AA$6,AB53))</f>
        <v>0</v>
      </c>
      <c r="AD53" s="466" t="e">
        <f t="shared" si="7"/>
        <v>#N/A</v>
      </c>
      <c r="AE53" s="466">
        <f t="shared" si="8"/>
        <v>4.1666666666666669E-4</v>
      </c>
      <c r="AF53" s="466" t="e">
        <f t="shared" si="9"/>
        <v>#N/A</v>
      </c>
      <c r="AG53" s="466">
        <f t="shared" si="10"/>
        <v>3.5000000000000003E-2</v>
      </c>
    </row>
    <row r="54" spans="2:33">
      <c r="B54" s="9"/>
      <c r="C54" s="9"/>
      <c r="D54" s="9"/>
      <c r="N54" s="9"/>
      <c r="O54" s="35">
        <f t="shared" si="11"/>
        <v>63</v>
      </c>
      <c r="P54" s="556">
        <f>[1]!srIx2Val(Q$6,O54,1)</f>
        <v>4.4999999999999999E-4</v>
      </c>
      <c r="Q54" s="559">
        <f>[1]!srIx2Val(Q$6,O54,5)</f>
        <v>7.1999999999999998E-3</v>
      </c>
      <c r="R54" s="554">
        <f t="shared" si="0"/>
        <v>-4.9927999999999999</v>
      </c>
      <c r="S54" s="465">
        <f>IF(R54&lt;=0,0,[1]!srRng2E(Q$6,R54))</f>
        <v>0</v>
      </c>
      <c r="T54" s="482" t="e">
        <f t="shared" si="1"/>
        <v>#N/A</v>
      </c>
      <c r="U54" s="466">
        <f t="shared" si="2"/>
        <v>4.4999999999999999E-4</v>
      </c>
      <c r="V54" s="466" t="e">
        <f t="shared" si="3"/>
        <v>#N/A</v>
      </c>
      <c r="W54" s="466">
        <f t="shared" si="4"/>
        <v>1.7999999999999999E-2</v>
      </c>
      <c r="Y54" s="35">
        <f t="shared" si="12"/>
        <v>63</v>
      </c>
      <c r="Z54" s="556">
        <f>[1]!srIx2Val(AA$6,Y54,1)</f>
        <v>4.4642857142857141E-4</v>
      </c>
      <c r="AA54" s="559">
        <f>[1]!srIx2Val(AA$6,Y54,5)</f>
        <v>2.9099999999999997E-2</v>
      </c>
      <c r="AB54" s="554">
        <f t="shared" si="6"/>
        <v>-4.9709000000000003</v>
      </c>
      <c r="AC54" s="465">
        <f>IF(AB54&lt;=0,0,[1]!srRng2E(AA$6,AB54))</f>
        <v>0</v>
      </c>
      <c r="AD54" s="466" t="e">
        <f t="shared" si="7"/>
        <v>#N/A</v>
      </c>
      <c r="AE54" s="466">
        <f t="shared" si="8"/>
        <v>4.4642857142857141E-4</v>
      </c>
      <c r="AF54" s="466" t="e">
        <f t="shared" si="9"/>
        <v>#N/A</v>
      </c>
      <c r="AG54" s="466">
        <f t="shared" si="10"/>
        <v>3.7499999999999999E-2</v>
      </c>
    </row>
    <row r="55" spans="2:33">
      <c r="B55" s="9"/>
      <c r="C55" s="9"/>
      <c r="D55" s="9"/>
      <c r="N55" s="9"/>
      <c r="O55" s="35">
        <f t="shared" si="11"/>
        <v>64</v>
      </c>
      <c r="P55" s="556">
        <f>[1]!srIx2Val(Q$6,O55,1)</f>
        <v>5.0000000000000001E-4</v>
      </c>
      <c r="Q55" s="559">
        <f>[1]!srIx2Val(Q$6,O55,5)</f>
        <v>7.7999999999999996E-3</v>
      </c>
      <c r="R55" s="554">
        <f t="shared" si="0"/>
        <v>-4.9922000000000004</v>
      </c>
      <c r="S55" s="465">
        <f>IF(R55&lt;=0,0,[1]!srRng2E(Q$6,R55))</f>
        <v>0</v>
      </c>
      <c r="T55" s="482" t="e">
        <f t="shared" si="1"/>
        <v>#N/A</v>
      </c>
      <c r="U55" s="466">
        <f t="shared" si="2"/>
        <v>5.0000000000000001E-4</v>
      </c>
      <c r="V55" s="466" t="e">
        <f t="shared" si="3"/>
        <v>#N/A</v>
      </c>
      <c r="W55" s="466">
        <f t="shared" si="4"/>
        <v>0.02</v>
      </c>
      <c r="Y55" s="35">
        <f t="shared" si="12"/>
        <v>64</v>
      </c>
      <c r="Z55" s="556">
        <f>[1]!srIx2Val(AA$6,Y55,1)</f>
        <v>4.7619047619047619E-4</v>
      </c>
      <c r="AA55" s="559">
        <f>[1]!srIx2Val(AA$6,Y55,5)</f>
        <v>3.0499999999999999E-2</v>
      </c>
      <c r="AB55" s="554">
        <f t="shared" si="6"/>
        <v>-4.9695</v>
      </c>
      <c r="AC55" s="465">
        <f>IF(AB55&lt;=0,0,[1]!srRng2E(AA$6,AB55))</f>
        <v>0</v>
      </c>
      <c r="AD55" s="466" t="e">
        <f t="shared" si="7"/>
        <v>#N/A</v>
      </c>
      <c r="AE55" s="466">
        <f t="shared" si="8"/>
        <v>4.7619047619047619E-4</v>
      </c>
      <c r="AF55" s="466" t="e">
        <f t="shared" si="9"/>
        <v>#N/A</v>
      </c>
      <c r="AG55" s="466">
        <f t="shared" si="10"/>
        <v>0.04</v>
      </c>
    </row>
    <row r="56" spans="2:33">
      <c r="O56" s="35">
        <f t="shared" si="11"/>
        <v>65</v>
      </c>
      <c r="P56" s="556">
        <f>[1]!srIx2Val(Q$6,O56,1)</f>
        <v>5.6249999999999996E-4</v>
      </c>
      <c r="Q56" s="559">
        <f>[1]!srIx2Val(Q$6,O56,5)</f>
        <v>8.5000000000000006E-3</v>
      </c>
      <c r="R56" s="554">
        <f t="shared" si="0"/>
        <v>-4.9915000000000003</v>
      </c>
      <c r="S56" s="465">
        <f>IF(R56&lt;=0,0,[1]!srRng2E(Q$6,R56))</f>
        <v>0</v>
      </c>
      <c r="T56" s="482" t="e">
        <f t="shared" si="1"/>
        <v>#N/A</v>
      </c>
      <c r="U56" s="466">
        <f t="shared" si="2"/>
        <v>5.6249999999999996E-4</v>
      </c>
      <c r="V56" s="466" t="e">
        <f t="shared" si="3"/>
        <v>#N/A</v>
      </c>
      <c r="W56" s="466">
        <f t="shared" si="4"/>
        <v>2.2499999999999999E-2</v>
      </c>
      <c r="Y56" s="35">
        <f t="shared" si="12"/>
        <v>65</v>
      </c>
      <c r="Z56" s="556">
        <f>[1]!srIx2Val(AA$6,Y56,1)</f>
        <v>5.3571428571428574E-4</v>
      </c>
      <c r="AA56" s="559">
        <f>[1]!srIx2Val(AA$6,Y56,5)</f>
        <v>3.3300000000000003E-2</v>
      </c>
      <c r="AB56" s="554">
        <f t="shared" si="6"/>
        <v>-4.9667000000000003</v>
      </c>
      <c r="AC56" s="465">
        <f>IF(AB56&lt;=0,0,[1]!srRng2E(AA$6,AB56))</f>
        <v>0</v>
      </c>
      <c r="AD56" s="466" t="e">
        <f t="shared" si="7"/>
        <v>#N/A</v>
      </c>
      <c r="AE56" s="466">
        <f t="shared" si="8"/>
        <v>5.3571428571428574E-4</v>
      </c>
      <c r="AF56" s="466" t="e">
        <f t="shared" si="9"/>
        <v>#N/A</v>
      </c>
      <c r="AG56" s="466">
        <f t="shared" si="10"/>
        <v>4.5000000000000005E-2</v>
      </c>
    </row>
    <row r="57" spans="2:33">
      <c r="O57" s="35">
        <f t="shared" si="11"/>
        <v>66</v>
      </c>
      <c r="P57" s="556">
        <f>[1]!srIx2Val(Q$6,O57,1)</f>
        <v>6.2500000000000001E-4</v>
      </c>
      <c r="Q57" s="559">
        <f>[1]!srIx2Val(Q$6,O57,5)</f>
        <v>9.2999999999999992E-3</v>
      </c>
      <c r="R57" s="554">
        <f t="shared" si="0"/>
        <v>-4.9907000000000004</v>
      </c>
      <c r="S57" s="465">
        <f>IF(R57&lt;=0,0,[1]!srRng2E(Q$6,R57))</f>
        <v>0</v>
      </c>
      <c r="T57" s="482" t="e">
        <f t="shared" si="1"/>
        <v>#N/A</v>
      </c>
      <c r="U57" s="466">
        <f t="shared" si="2"/>
        <v>6.2500000000000001E-4</v>
      </c>
      <c r="V57" s="466" t="e">
        <f t="shared" si="3"/>
        <v>#N/A</v>
      </c>
      <c r="W57" s="466">
        <f t="shared" si="4"/>
        <v>2.5000000000000001E-2</v>
      </c>
      <c r="Y57" s="35">
        <f t="shared" si="12"/>
        <v>66</v>
      </c>
      <c r="Z57" s="556">
        <f>[1]!srIx2Val(AA$6,Y57,1)</f>
        <v>5.9523809523809529E-4</v>
      </c>
      <c r="AA57" s="559">
        <f>[1]!srIx2Val(AA$6,Y57,5)</f>
        <v>3.61E-2</v>
      </c>
      <c r="AB57" s="554">
        <f t="shared" si="6"/>
        <v>-4.9638999999999998</v>
      </c>
      <c r="AC57" s="465">
        <f>IF(AB57&lt;=0,0,[1]!srRng2E(AA$6,AB57))</f>
        <v>0</v>
      </c>
      <c r="AD57" s="466" t="e">
        <f t="shared" si="7"/>
        <v>#N/A</v>
      </c>
      <c r="AE57" s="466">
        <f t="shared" si="8"/>
        <v>5.9523809523809529E-4</v>
      </c>
      <c r="AF57" s="466" t="e">
        <f t="shared" si="9"/>
        <v>#N/A</v>
      </c>
      <c r="AG57" s="466">
        <f t="shared" si="10"/>
        <v>0.05</v>
      </c>
    </row>
    <row r="58" spans="2:33">
      <c r="O58" s="35">
        <f t="shared" si="11"/>
        <v>67</v>
      </c>
      <c r="P58" s="556">
        <f>[1]!srIx2Val(Q$6,O58,1)</f>
        <v>6.8749999999999996E-4</v>
      </c>
      <c r="Q58" s="559">
        <f>[1]!srIx2Val(Q$6,O58,5)</f>
        <v>0.01</v>
      </c>
      <c r="R58" s="554">
        <f t="shared" si="0"/>
        <v>-4.99</v>
      </c>
      <c r="S58" s="465">
        <f>IF(R58&lt;=0,0,[1]!srRng2E(Q$6,R58))</f>
        <v>0</v>
      </c>
      <c r="T58" s="482" t="e">
        <f t="shared" si="1"/>
        <v>#N/A</v>
      </c>
      <c r="U58" s="466">
        <f t="shared" si="2"/>
        <v>6.8749999999999996E-4</v>
      </c>
      <c r="V58" s="466" t="e">
        <f t="shared" si="3"/>
        <v>#N/A</v>
      </c>
      <c r="W58" s="466">
        <f t="shared" si="4"/>
        <v>2.7499999999999997E-2</v>
      </c>
      <c r="Y58" s="35">
        <f t="shared" si="12"/>
        <v>67</v>
      </c>
      <c r="Z58" s="556">
        <f>[1]!srIx2Val(AA$6,Y58,1)</f>
        <v>6.5476190476190473E-4</v>
      </c>
      <c r="AA58" s="559">
        <f>[1]!srIx2Val(AA$6,Y58,5)</f>
        <v>3.8800000000000001E-2</v>
      </c>
      <c r="AB58" s="554">
        <f t="shared" si="6"/>
        <v>-4.9611999999999998</v>
      </c>
      <c r="AC58" s="465">
        <f>IF(AB58&lt;=0,0,[1]!srRng2E(AA$6,AB58))</f>
        <v>0</v>
      </c>
      <c r="AD58" s="466" t="e">
        <f t="shared" si="7"/>
        <v>#N/A</v>
      </c>
      <c r="AE58" s="466">
        <f t="shared" si="8"/>
        <v>6.5476190476190473E-4</v>
      </c>
      <c r="AF58" s="466" t="e">
        <f t="shared" si="9"/>
        <v>#N/A</v>
      </c>
      <c r="AG58" s="466">
        <f t="shared" si="10"/>
        <v>5.5E-2</v>
      </c>
    </row>
    <row r="59" spans="2:33">
      <c r="O59" s="35">
        <f t="shared" si="11"/>
        <v>68</v>
      </c>
      <c r="P59" s="556">
        <f>[1]!srIx2Val(Q$6,O59,1)</f>
        <v>7.5000000000000002E-4</v>
      </c>
      <c r="Q59" s="559">
        <f>[1]!srIx2Val(Q$6,O59,5)</f>
        <v>1.0699999999999999E-2</v>
      </c>
      <c r="R59" s="554">
        <f t="shared" si="0"/>
        <v>-4.9893000000000001</v>
      </c>
      <c r="S59" s="465">
        <f>IF(R59&lt;=0,0,[1]!srRng2E(Q$6,R59))</f>
        <v>0</v>
      </c>
      <c r="T59" s="482" t="e">
        <f t="shared" si="1"/>
        <v>#N/A</v>
      </c>
      <c r="U59" s="466">
        <f t="shared" si="2"/>
        <v>7.5000000000000002E-4</v>
      </c>
      <c r="V59" s="466" t="e">
        <f t="shared" si="3"/>
        <v>#N/A</v>
      </c>
      <c r="W59" s="466">
        <f t="shared" si="4"/>
        <v>0.03</v>
      </c>
      <c r="Y59" s="35">
        <f t="shared" si="12"/>
        <v>68</v>
      </c>
      <c r="Z59" s="556">
        <f>[1]!srIx2Val(AA$6,Y59,1)</f>
        <v>7.1428571428571429E-4</v>
      </c>
      <c r="AA59" s="559">
        <f>[1]!srIx2Val(AA$6,Y59,5)</f>
        <v>4.1499999999999995E-2</v>
      </c>
      <c r="AB59" s="554">
        <f t="shared" si="6"/>
        <v>-4.9584999999999999</v>
      </c>
      <c r="AC59" s="465">
        <f>IF(AB59&lt;=0,0,[1]!srRng2E(AA$6,AB59))</f>
        <v>0</v>
      </c>
      <c r="AD59" s="466" t="e">
        <f t="shared" si="7"/>
        <v>#N/A</v>
      </c>
      <c r="AE59" s="466">
        <f t="shared" si="8"/>
        <v>7.1428571428571429E-4</v>
      </c>
      <c r="AF59" s="466" t="e">
        <f t="shared" si="9"/>
        <v>#N/A</v>
      </c>
      <c r="AG59" s="466">
        <f t="shared" si="10"/>
        <v>0.06</v>
      </c>
    </row>
    <row r="60" spans="2:33">
      <c r="O60" s="35">
        <f t="shared" si="11"/>
        <v>69</v>
      </c>
      <c r="P60" s="556">
        <f>[1]!srIx2Val(Q$6,O60,1)</f>
        <v>8.1250000000000007E-4</v>
      </c>
      <c r="Q60" s="559">
        <f>[1]!srIx2Val(Q$6,O60,5)</f>
        <v>1.14E-2</v>
      </c>
      <c r="R60" s="554">
        <f t="shared" si="0"/>
        <v>-4.9885999999999999</v>
      </c>
      <c r="S60" s="465">
        <f>IF(R60&lt;=0,0,[1]!srRng2E(Q$6,R60))</f>
        <v>0</v>
      </c>
      <c r="T60" s="482" t="e">
        <f t="shared" si="1"/>
        <v>#N/A</v>
      </c>
      <c r="U60" s="466">
        <f t="shared" si="2"/>
        <v>8.1250000000000007E-4</v>
      </c>
      <c r="V60" s="466" t="e">
        <f t="shared" si="3"/>
        <v>#N/A</v>
      </c>
      <c r="W60" s="466">
        <f t="shared" si="4"/>
        <v>3.2500000000000001E-2</v>
      </c>
      <c r="Y60" s="35">
        <f t="shared" si="12"/>
        <v>69</v>
      </c>
      <c r="Z60" s="556">
        <f>[1]!srIx2Val(AA$6,Y60,1)</f>
        <v>7.7380952380952384E-4</v>
      </c>
      <c r="AA60" s="559">
        <f>[1]!srIx2Val(AA$6,Y60,5)</f>
        <v>4.4200000000000003E-2</v>
      </c>
      <c r="AB60" s="554">
        <f t="shared" si="6"/>
        <v>-4.9558</v>
      </c>
      <c r="AC60" s="465">
        <f>IF(AB60&lt;=0,0,[1]!srRng2E(AA$6,AB60))</f>
        <v>0</v>
      </c>
      <c r="AD60" s="466" t="e">
        <f t="shared" si="7"/>
        <v>#N/A</v>
      </c>
      <c r="AE60" s="466">
        <f t="shared" si="8"/>
        <v>7.7380952380952384E-4</v>
      </c>
      <c r="AF60" s="466" t="e">
        <f t="shared" si="9"/>
        <v>#N/A</v>
      </c>
      <c r="AG60" s="466">
        <f t="shared" si="10"/>
        <v>6.5000000000000002E-2</v>
      </c>
    </row>
    <row r="61" spans="2:33">
      <c r="O61" s="35">
        <f t="shared" si="11"/>
        <v>70</v>
      </c>
      <c r="P61" s="556">
        <f>[1]!srIx2Val(Q$6,O61,1)</f>
        <v>8.7500000000000013E-4</v>
      </c>
      <c r="Q61" s="559">
        <f>[1]!srIx2Val(Q$6,O61,5)</f>
        <v>1.21E-2</v>
      </c>
      <c r="R61" s="554">
        <f t="shared" si="0"/>
        <v>-4.9878999999999998</v>
      </c>
      <c r="S61" s="465">
        <f>IF(R61&lt;=0,0,[1]!srRng2E(Q$6,R61))</f>
        <v>0</v>
      </c>
      <c r="T61" s="482" t="e">
        <f t="shared" si="1"/>
        <v>#N/A</v>
      </c>
      <c r="U61" s="466">
        <f t="shared" si="2"/>
        <v>8.7500000000000013E-4</v>
      </c>
      <c r="V61" s="466" t="e">
        <f t="shared" si="3"/>
        <v>#N/A</v>
      </c>
      <c r="W61" s="466">
        <f t="shared" si="4"/>
        <v>3.5000000000000003E-2</v>
      </c>
      <c r="Y61" s="35">
        <f t="shared" si="12"/>
        <v>70</v>
      </c>
      <c r="Z61" s="556">
        <f>[1]!srIx2Val(AA$6,Y61,1)</f>
        <v>8.3333333333333339E-4</v>
      </c>
      <c r="AA61" s="559">
        <f>[1]!srIx2Val(AA$6,Y61,5)</f>
        <v>4.6899999999999997E-2</v>
      </c>
      <c r="AB61" s="554">
        <f t="shared" si="6"/>
        <v>-4.9531000000000001</v>
      </c>
      <c r="AC61" s="465">
        <f>IF(AB61&lt;=0,0,[1]!srRng2E(AA$6,AB61))</f>
        <v>0</v>
      </c>
      <c r="AD61" s="466" t="e">
        <f t="shared" si="7"/>
        <v>#N/A</v>
      </c>
      <c r="AE61" s="466">
        <f t="shared" si="8"/>
        <v>8.3333333333333339E-4</v>
      </c>
      <c r="AF61" s="466" t="e">
        <f t="shared" si="9"/>
        <v>#N/A</v>
      </c>
      <c r="AG61" s="466">
        <f t="shared" si="10"/>
        <v>7.0000000000000007E-2</v>
      </c>
    </row>
    <row r="62" spans="2:33">
      <c r="O62" s="35">
        <f t="shared" si="11"/>
        <v>71</v>
      </c>
      <c r="P62" s="556">
        <f>[1]!srIx2Val(Q$6,O62,1)</f>
        <v>9.3749999999999997E-4</v>
      </c>
      <c r="Q62" s="559">
        <f>[1]!srIx2Val(Q$6,O62,5)</f>
        <v>1.29E-2</v>
      </c>
      <c r="R62" s="554">
        <f t="shared" si="0"/>
        <v>-4.9870999999999999</v>
      </c>
      <c r="S62" s="465">
        <f>IF(R62&lt;=0,0,[1]!srRng2E(Q$6,R62))</f>
        <v>0</v>
      </c>
      <c r="T62" s="482" t="e">
        <f t="shared" si="1"/>
        <v>#N/A</v>
      </c>
      <c r="U62" s="466">
        <f t="shared" si="2"/>
        <v>9.3749999999999997E-4</v>
      </c>
      <c r="V62" s="466" t="e">
        <f t="shared" si="3"/>
        <v>#N/A</v>
      </c>
      <c r="W62" s="466">
        <f t="shared" si="4"/>
        <v>3.7499999999999999E-2</v>
      </c>
      <c r="Y62" s="35">
        <f t="shared" si="12"/>
        <v>71</v>
      </c>
      <c r="Z62" s="556">
        <f>[1]!srIx2Val(AA$6,Y62,1)</f>
        <v>9.5238095238095238E-4</v>
      </c>
      <c r="AA62" s="559">
        <f>[1]!srIx2Val(AA$6,Y62,5)</f>
        <v>5.2200000000000003E-2</v>
      </c>
      <c r="AB62" s="554">
        <f t="shared" si="6"/>
        <v>-4.9478</v>
      </c>
      <c r="AC62" s="465">
        <f>IF(AB62&lt;=0,0,[1]!srRng2E(AA$6,AB62))</f>
        <v>0</v>
      </c>
      <c r="AD62" s="466" t="e">
        <f t="shared" si="7"/>
        <v>#N/A</v>
      </c>
      <c r="AE62" s="466">
        <f t="shared" si="8"/>
        <v>9.5238095238095238E-4</v>
      </c>
      <c r="AF62" s="466" t="e">
        <f t="shared" si="9"/>
        <v>#N/A</v>
      </c>
      <c r="AG62" s="466">
        <f t="shared" si="10"/>
        <v>0.08</v>
      </c>
    </row>
    <row r="63" spans="2:33">
      <c r="O63" s="35">
        <f t="shared" si="11"/>
        <v>72</v>
      </c>
      <c r="P63" s="556">
        <f>[1]!srIx2Val(Q$6,O63,1)</f>
        <v>1E-3</v>
      </c>
      <c r="Q63" s="559">
        <f>[1]!srIx2Val(Q$6,O63,5)</f>
        <v>1.3600000000000001E-2</v>
      </c>
      <c r="R63" s="554">
        <f t="shared" si="0"/>
        <v>-4.9863999999999997</v>
      </c>
      <c r="S63" s="465">
        <f>IF(R63&lt;=0,0,[1]!srRng2E(Q$6,R63))</f>
        <v>0</v>
      </c>
      <c r="T63" s="482" t="e">
        <f t="shared" si="1"/>
        <v>#N/A</v>
      </c>
      <c r="U63" s="466">
        <f t="shared" si="2"/>
        <v>1E-3</v>
      </c>
      <c r="V63" s="466" t="e">
        <f t="shared" si="3"/>
        <v>#N/A</v>
      </c>
      <c r="W63" s="466">
        <f t="shared" si="4"/>
        <v>0.04</v>
      </c>
      <c r="Y63" s="35">
        <f t="shared" si="12"/>
        <v>72</v>
      </c>
      <c r="Z63" s="556">
        <f>[1]!srIx2Val(AA$6,Y63,1)</f>
        <v>1.0714285714285715E-3</v>
      </c>
      <c r="AA63" s="559">
        <f>[1]!srIx2Val(AA$6,Y63,5)</f>
        <v>5.7399999999999993E-2</v>
      </c>
      <c r="AB63" s="554">
        <f t="shared" si="6"/>
        <v>-4.9425999999999997</v>
      </c>
      <c r="AC63" s="465">
        <f>IF(AB63&lt;=0,0,[1]!srRng2E(AA$6,AB63))</f>
        <v>0</v>
      </c>
      <c r="AD63" s="466" t="e">
        <f t="shared" si="7"/>
        <v>#N/A</v>
      </c>
      <c r="AE63" s="466">
        <f t="shared" si="8"/>
        <v>1.0714285714285715E-3</v>
      </c>
      <c r="AF63" s="466" t="e">
        <f t="shared" si="9"/>
        <v>#N/A</v>
      </c>
      <c r="AG63" s="466">
        <f t="shared" si="10"/>
        <v>9.0000000000000011E-2</v>
      </c>
    </row>
    <row r="64" spans="2:33">
      <c r="O64" s="35">
        <f t="shared" si="11"/>
        <v>73</v>
      </c>
      <c r="P64" s="556">
        <f>[1]!srIx2Val(Q$6,O64,1)</f>
        <v>1.1249999999999999E-3</v>
      </c>
      <c r="Q64" s="559">
        <f>[1]!srIx2Val(Q$6,O64,5)</f>
        <v>1.4999999999999999E-2</v>
      </c>
      <c r="R64" s="554">
        <f t="shared" si="0"/>
        <v>-4.9850000000000003</v>
      </c>
      <c r="S64" s="465">
        <f>IF(R64&lt;=0,0,[1]!srRng2E(Q$6,R64))</f>
        <v>0</v>
      </c>
      <c r="T64" s="482" t="e">
        <f t="shared" si="1"/>
        <v>#N/A</v>
      </c>
      <c r="U64" s="466">
        <f t="shared" si="2"/>
        <v>1.1249999999999999E-3</v>
      </c>
      <c r="V64" s="466" t="e">
        <f t="shared" si="3"/>
        <v>#N/A</v>
      </c>
      <c r="W64" s="466">
        <f t="shared" si="4"/>
        <v>4.4999999999999998E-2</v>
      </c>
      <c r="Y64" s="35">
        <f t="shared" si="12"/>
        <v>73</v>
      </c>
      <c r="Z64" s="556">
        <f>[1]!srIx2Val(AA$6,Y64,1)</f>
        <v>1.1904761904761906E-3</v>
      </c>
      <c r="AA64" s="559">
        <f>[1]!srIx2Val(AA$6,Y64,5)</f>
        <v>6.2700000000000006E-2</v>
      </c>
      <c r="AB64" s="554">
        <f t="shared" si="6"/>
        <v>-4.9372999999999996</v>
      </c>
      <c r="AC64" s="465">
        <f>IF(AB64&lt;=0,0,[1]!srRng2E(AA$6,AB64))</f>
        <v>0</v>
      </c>
      <c r="AD64" s="466" t="e">
        <f t="shared" si="7"/>
        <v>#N/A</v>
      </c>
      <c r="AE64" s="466">
        <f t="shared" si="8"/>
        <v>1.1904761904761906E-3</v>
      </c>
      <c r="AF64" s="466" t="e">
        <f t="shared" si="9"/>
        <v>#N/A</v>
      </c>
      <c r="AG64" s="466">
        <f t="shared" si="10"/>
        <v>0.1</v>
      </c>
    </row>
    <row r="65" spans="3:33">
      <c r="O65" s="35">
        <f t="shared" si="11"/>
        <v>74</v>
      </c>
      <c r="P65" s="556">
        <f>[1]!srIx2Val(Q$6,O65,1)</f>
        <v>1.25E-3</v>
      </c>
      <c r="Q65" s="559">
        <f>[1]!srIx2Val(Q$6,O65,5)</f>
        <v>1.6400000000000001E-2</v>
      </c>
      <c r="R65" s="554">
        <f t="shared" si="0"/>
        <v>-4.9836</v>
      </c>
      <c r="S65" s="465">
        <f>IF(R65&lt;=0,0,[1]!srRng2E(Q$6,R65))</f>
        <v>0</v>
      </c>
      <c r="T65" s="482" t="e">
        <f t="shared" si="1"/>
        <v>#N/A</v>
      </c>
      <c r="U65" s="466">
        <f t="shared" si="2"/>
        <v>1.25E-3</v>
      </c>
      <c r="V65" s="466" t="e">
        <f t="shared" si="3"/>
        <v>#N/A</v>
      </c>
      <c r="W65" s="466">
        <f t="shared" si="4"/>
        <v>0.05</v>
      </c>
      <c r="Y65" s="35">
        <f t="shared" si="12"/>
        <v>74</v>
      </c>
      <c r="Z65" s="556">
        <f>[1]!srIx2Val(AA$6,Y65,1)</f>
        <v>1.3095238095238095E-3</v>
      </c>
      <c r="AA65" s="559">
        <f>[1]!srIx2Val(AA$6,Y65,5)</f>
        <v>6.7900000000000002E-2</v>
      </c>
      <c r="AB65" s="554">
        <f t="shared" si="6"/>
        <v>-4.9321000000000002</v>
      </c>
      <c r="AC65" s="465">
        <f>IF(AB65&lt;=0,0,[1]!srRng2E(AA$6,AB65))</f>
        <v>0</v>
      </c>
      <c r="AD65" s="466" t="e">
        <f t="shared" si="7"/>
        <v>#N/A</v>
      </c>
      <c r="AE65" s="466">
        <f t="shared" si="8"/>
        <v>1.3095238095238095E-3</v>
      </c>
      <c r="AF65" s="466" t="e">
        <f t="shared" si="9"/>
        <v>#N/A</v>
      </c>
      <c r="AG65" s="466">
        <f t="shared" si="10"/>
        <v>0.11</v>
      </c>
    </row>
    <row r="66" spans="3:33">
      <c r="C66" s="488"/>
      <c r="D66" s="549" t="s">
        <v>323</v>
      </c>
      <c r="E66" s="539"/>
      <c r="F66" s="540"/>
      <c r="G66" s="541"/>
      <c r="O66" s="35">
        <f t="shared" si="11"/>
        <v>75</v>
      </c>
      <c r="P66" s="556">
        <f>[1]!srIx2Val(Q$6,O66,1)</f>
        <v>1.3749999999999999E-3</v>
      </c>
      <c r="Q66" s="559">
        <f>[1]!srIx2Val(Q$6,O66,5)</f>
        <v>1.78E-2</v>
      </c>
      <c r="R66" s="554">
        <f t="shared" si="0"/>
        <v>-4.9821999999999997</v>
      </c>
      <c r="S66" s="465">
        <f>IF(R66&lt;=0,0,[1]!srRng2E(Q$6,R66))</f>
        <v>0</v>
      </c>
      <c r="T66" s="482" t="e">
        <f t="shared" si="1"/>
        <v>#N/A</v>
      </c>
      <c r="U66" s="466">
        <f t="shared" si="2"/>
        <v>1.3749999999999999E-3</v>
      </c>
      <c r="V66" s="466" t="e">
        <f t="shared" si="3"/>
        <v>#N/A</v>
      </c>
      <c r="W66" s="466">
        <f t="shared" si="4"/>
        <v>5.4999999999999993E-2</v>
      </c>
      <c r="Y66" s="35">
        <f t="shared" si="12"/>
        <v>75</v>
      </c>
      <c r="Z66" s="556">
        <f>[1]!srIx2Val(AA$6,Y66,1)</f>
        <v>1.4285714285714286E-3</v>
      </c>
      <c r="AA66" s="559">
        <f>[1]!srIx2Val(AA$6,Y66,5)</f>
        <v>7.3099999999999998E-2</v>
      </c>
      <c r="AB66" s="554">
        <f t="shared" si="6"/>
        <v>-4.9268999999999998</v>
      </c>
      <c r="AC66" s="465">
        <f>IF(AB66&lt;=0,0,[1]!srRng2E(AA$6,AB66))</f>
        <v>0</v>
      </c>
      <c r="AD66" s="466" t="e">
        <f t="shared" si="7"/>
        <v>#N/A</v>
      </c>
      <c r="AE66" s="466">
        <f t="shared" si="8"/>
        <v>1.4285714285714286E-3</v>
      </c>
      <c r="AF66" s="466" t="e">
        <f t="shared" si="9"/>
        <v>#N/A</v>
      </c>
      <c r="AG66" s="466">
        <f t="shared" si="10"/>
        <v>0.12</v>
      </c>
    </row>
    <row r="67" spans="3:33">
      <c r="C67" s="488"/>
      <c r="D67" s="542" t="s">
        <v>320</v>
      </c>
      <c r="E67" s="543" t="s">
        <v>318</v>
      </c>
      <c r="F67" s="543"/>
      <c r="G67" s="544" t="s">
        <v>319</v>
      </c>
      <c r="O67" s="35">
        <f t="shared" si="11"/>
        <v>76</v>
      </c>
      <c r="P67" s="556">
        <f>[1]!srIx2Val(Q$6,O67,1)</f>
        <v>1.5E-3</v>
      </c>
      <c r="Q67" s="559">
        <f>[1]!srIx2Val(Q$6,O67,5)</f>
        <v>1.9200000000000002E-2</v>
      </c>
      <c r="R67" s="554">
        <f t="shared" si="0"/>
        <v>-4.9808000000000003</v>
      </c>
      <c r="S67" s="465">
        <f>IF(R67&lt;=0,0,[1]!srRng2E(Q$6,R67))</f>
        <v>0</v>
      </c>
      <c r="T67" s="482" t="e">
        <f t="shared" si="1"/>
        <v>#N/A</v>
      </c>
      <c r="U67" s="466">
        <f t="shared" si="2"/>
        <v>1.5E-3</v>
      </c>
      <c r="V67" s="466" t="e">
        <f t="shared" si="3"/>
        <v>#N/A</v>
      </c>
      <c r="W67" s="466">
        <f t="shared" si="4"/>
        <v>0.06</v>
      </c>
      <c r="Y67" s="35">
        <f t="shared" si="12"/>
        <v>76</v>
      </c>
      <c r="Z67" s="556">
        <f>[1]!srIx2Val(AA$6,Y67,1)</f>
        <v>1.5476190476190477E-3</v>
      </c>
      <c r="AA67" s="559">
        <f>[1]!srIx2Val(AA$6,Y67,5)</f>
        <v>7.8300000000000008E-2</v>
      </c>
      <c r="AB67" s="554">
        <f t="shared" si="6"/>
        <v>-4.9217000000000004</v>
      </c>
      <c r="AC67" s="465">
        <f>IF(AB67&lt;=0,0,[1]!srRng2E(AA$6,AB67))</f>
        <v>0</v>
      </c>
      <c r="AD67" s="466" t="e">
        <f t="shared" si="7"/>
        <v>#N/A</v>
      </c>
      <c r="AE67" s="466">
        <f t="shared" si="8"/>
        <v>1.5476190476190477E-3</v>
      </c>
      <c r="AF67" s="466" t="e">
        <f t="shared" si="9"/>
        <v>#N/A</v>
      </c>
      <c r="AG67" s="466">
        <f t="shared" si="10"/>
        <v>0.13</v>
      </c>
    </row>
    <row r="68" spans="3:33">
      <c r="C68" s="550" t="s">
        <v>324</v>
      </c>
      <c r="D68" s="489"/>
      <c r="E68" s="535"/>
      <c r="F68" s="535"/>
      <c r="G68" s="535"/>
      <c r="O68" s="35">
        <f t="shared" si="11"/>
        <v>77</v>
      </c>
      <c r="P68" s="556">
        <f>[1]!srIx2Val(Q$6,O68,1)</f>
        <v>1.6250000000000001E-3</v>
      </c>
      <c r="Q68" s="559">
        <f>[1]!srIx2Val(Q$6,O68,5)</f>
        <v>2.06E-2</v>
      </c>
      <c r="R68" s="554">
        <f t="shared" si="0"/>
        <v>-4.9794</v>
      </c>
      <c r="S68" s="465">
        <f>IF(R68&lt;=0,0,[1]!srRng2E(Q$6,R68))</f>
        <v>0</v>
      </c>
      <c r="T68" s="482" t="e">
        <f t="shared" si="1"/>
        <v>#N/A</v>
      </c>
      <c r="U68" s="466">
        <f t="shared" si="2"/>
        <v>1.6250000000000001E-3</v>
      </c>
      <c r="V68" s="466" t="e">
        <f t="shared" si="3"/>
        <v>#N/A</v>
      </c>
      <c r="W68" s="466">
        <f t="shared" si="4"/>
        <v>6.5000000000000002E-2</v>
      </c>
      <c r="Y68" s="35">
        <f t="shared" si="12"/>
        <v>77</v>
      </c>
      <c r="Z68" s="556">
        <f>[1]!srIx2Val(AA$6,Y68,1)</f>
        <v>1.6666666666666668E-3</v>
      </c>
      <c r="AA68" s="559">
        <f>[1]!srIx2Val(AA$6,Y68,5)</f>
        <v>8.3499999999999991E-2</v>
      </c>
      <c r="AB68" s="554">
        <f t="shared" si="6"/>
        <v>-4.9165000000000001</v>
      </c>
      <c r="AC68" s="465">
        <f>IF(AB68&lt;=0,0,[1]!srRng2E(AA$6,AB68))</f>
        <v>0</v>
      </c>
      <c r="AD68" s="466" t="e">
        <f t="shared" si="7"/>
        <v>#N/A</v>
      </c>
      <c r="AE68" s="466">
        <f t="shared" si="8"/>
        <v>1.6666666666666668E-3</v>
      </c>
      <c r="AF68" s="466" t="e">
        <f t="shared" si="9"/>
        <v>#N/A</v>
      </c>
      <c r="AG68" s="466">
        <f t="shared" si="10"/>
        <v>0.14000000000000001</v>
      </c>
    </row>
    <row r="69" spans="3:33">
      <c r="C69" s="534"/>
      <c r="D69" s="489" t="s">
        <v>358</v>
      </c>
      <c r="E69" s="535">
        <v>2</v>
      </c>
      <c r="F69" s="535"/>
      <c r="G69" s="535">
        <v>10</v>
      </c>
      <c r="O69" s="35">
        <f t="shared" si="11"/>
        <v>78</v>
      </c>
      <c r="P69" s="556">
        <f>[1]!srIx2Val(Q$6,O69,1)</f>
        <v>1.7500000000000003E-3</v>
      </c>
      <c r="Q69" s="559">
        <f>[1]!srIx2Val(Q$6,O69,5)</f>
        <v>2.1999999999999999E-2</v>
      </c>
      <c r="R69" s="554">
        <f t="shared" si="0"/>
        <v>-4.9779999999999998</v>
      </c>
      <c r="S69" s="465">
        <f>IF(R69&lt;=0,0,[1]!srRng2E(Q$6,R69))</f>
        <v>0</v>
      </c>
      <c r="T69" s="482" t="e">
        <f t="shared" si="1"/>
        <v>#N/A</v>
      </c>
      <c r="U69" s="466">
        <f t="shared" si="2"/>
        <v>1.7500000000000003E-3</v>
      </c>
      <c r="V69" s="466" t="e">
        <f t="shared" si="3"/>
        <v>#N/A</v>
      </c>
      <c r="W69" s="466">
        <f t="shared" si="4"/>
        <v>7.0000000000000007E-2</v>
      </c>
      <c r="Y69" s="35">
        <f t="shared" si="12"/>
        <v>78</v>
      </c>
      <c r="Z69" s="556">
        <f>[1]!srIx2Val(AA$6,Y69,1)</f>
        <v>1.7857142857142857E-3</v>
      </c>
      <c r="AA69" s="559">
        <f>[1]!srIx2Val(AA$6,Y69,5)</f>
        <v>8.8800000000000004E-2</v>
      </c>
      <c r="AB69" s="554">
        <f t="shared" si="6"/>
        <v>-4.9112</v>
      </c>
      <c r="AC69" s="465">
        <f>IF(AB69&lt;=0,0,[1]!srRng2E(AA$6,AB69))</f>
        <v>0</v>
      </c>
      <c r="AD69" s="466" t="e">
        <f t="shared" si="7"/>
        <v>#N/A</v>
      </c>
      <c r="AE69" s="466">
        <f t="shared" si="8"/>
        <v>1.7857142857142857E-3</v>
      </c>
      <c r="AF69" s="466" t="e">
        <f t="shared" si="9"/>
        <v>#N/A</v>
      </c>
      <c r="AG69" s="466">
        <f t="shared" si="10"/>
        <v>0.15</v>
      </c>
    </row>
    <row r="70" spans="3:33">
      <c r="C70" s="534"/>
      <c r="D70" s="489"/>
      <c r="E70" s="535">
        <v>100</v>
      </c>
      <c r="F70" s="535"/>
      <c r="G70" s="535">
        <v>20</v>
      </c>
      <c r="O70" s="35">
        <f t="shared" si="11"/>
        <v>79</v>
      </c>
      <c r="P70" s="556">
        <f>[1]!srIx2Val(Q$6,O70,1)</f>
        <v>2E-3</v>
      </c>
      <c r="Q70" s="559">
        <f>[1]!srIx2Val(Q$6,O70,5)</f>
        <v>2.4899999999999999E-2</v>
      </c>
      <c r="R70" s="554">
        <f t="shared" si="0"/>
        <v>-4.9751000000000003</v>
      </c>
      <c r="S70" s="465">
        <f>IF(R70&lt;=0,0,[1]!srRng2E(Q$6,R70))</f>
        <v>0</v>
      </c>
      <c r="T70" s="482" t="e">
        <f t="shared" si="1"/>
        <v>#N/A</v>
      </c>
      <c r="U70" s="466">
        <f t="shared" si="2"/>
        <v>2E-3</v>
      </c>
      <c r="V70" s="466" t="e">
        <f t="shared" si="3"/>
        <v>#N/A</v>
      </c>
      <c r="W70" s="466">
        <f t="shared" si="4"/>
        <v>0.08</v>
      </c>
      <c r="Y70" s="35">
        <f t="shared" si="12"/>
        <v>79</v>
      </c>
      <c r="Z70" s="556">
        <f>[1]!srIx2Val(AA$6,Y70,1)</f>
        <v>1.9047619047619048E-3</v>
      </c>
      <c r="AA70" s="559">
        <f>[1]!srIx2Val(AA$6,Y70,5)</f>
        <v>9.4E-2</v>
      </c>
      <c r="AB70" s="554">
        <f t="shared" si="6"/>
        <v>-4.9059999999999997</v>
      </c>
      <c r="AC70" s="465">
        <f>IF(AB70&lt;=0,0,[1]!srRng2E(AA$6,AB70))</f>
        <v>0</v>
      </c>
      <c r="AD70" s="466" t="e">
        <f t="shared" si="7"/>
        <v>#N/A</v>
      </c>
      <c r="AE70" s="466">
        <f t="shared" si="8"/>
        <v>1.9047619047619048E-3</v>
      </c>
      <c r="AF70" s="466" t="e">
        <f t="shared" si="9"/>
        <v>#N/A</v>
      </c>
      <c r="AG70" s="466">
        <f t="shared" si="10"/>
        <v>0.16</v>
      </c>
    </row>
    <row r="71" spans="3:33">
      <c r="C71" s="534"/>
      <c r="D71" s="489" t="s">
        <v>359</v>
      </c>
      <c r="E71" s="535">
        <v>0.5</v>
      </c>
      <c r="F71" s="535"/>
      <c r="G71" s="535">
        <v>5</v>
      </c>
      <c r="O71" s="35">
        <f t="shared" si="11"/>
        <v>80</v>
      </c>
      <c r="P71" s="556">
        <f>[1]!srIx2Val(Q$6,O71,1)</f>
        <v>2.2499999999999998E-3</v>
      </c>
      <c r="Q71" s="559">
        <f>[1]!srIx2Val(Q$6,O71,5)</f>
        <v>2.7700000000000002E-2</v>
      </c>
      <c r="R71" s="554">
        <f t="shared" si="0"/>
        <v>-4.9722999999999997</v>
      </c>
      <c r="S71" s="465">
        <f>IF(R71&lt;=0,0,[1]!srRng2E(Q$6,R71))</f>
        <v>0</v>
      </c>
      <c r="T71" s="482" t="e">
        <f t="shared" si="1"/>
        <v>#N/A</v>
      </c>
      <c r="U71" s="466">
        <f t="shared" si="2"/>
        <v>2.2499999999999998E-3</v>
      </c>
      <c r="V71" s="466" t="e">
        <f t="shared" si="3"/>
        <v>#N/A</v>
      </c>
      <c r="W71" s="466">
        <f t="shared" si="4"/>
        <v>0.09</v>
      </c>
      <c r="Y71" s="35">
        <f t="shared" si="12"/>
        <v>80</v>
      </c>
      <c r="Z71" s="556">
        <f>[1]!srIx2Val(AA$6,Y71,1)</f>
        <v>2.0238095238095241E-3</v>
      </c>
      <c r="AA71" s="559">
        <f>[1]!srIx2Val(AA$6,Y71,5)</f>
        <v>9.9199999999999997E-2</v>
      </c>
      <c r="AB71" s="554">
        <f t="shared" si="6"/>
        <v>-4.9008000000000003</v>
      </c>
      <c r="AC71" s="465">
        <f>IF(AB71&lt;=0,0,[1]!srRng2E(AA$6,AB71))</f>
        <v>0</v>
      </c>
      <c r="AD71" s="466" t="e">
        <f t="shared" si="7"/>
        <v>#N/A</v>
      </c>
      <c r="AE71" s="466">
        <f t="shared" si="8"/>
        <v>2.0238095238095241E-3</v>
      </c>
      <c r="AF71" s="466" t="e">
        <f t="shared" si="9"/>
        <v>#N/A</v>
      </c>
      <c r="AG71" s="466">
        <f t="shared" si="10"/>
        <v>0.17</v>
      </c>
    </row>
    <row r="72" spans="3:33">
      <c r="C72" s="534"/>
      <c r="D72" s="537"/>
      <c r="E72" s="538"/>
      <c r="F72" s="535"/>
      <c r="G72" s="535"/>
      <c r="O72" s="35">
        <f t="shared" si="11"/>
        <v>81</v>
      </c>
      <c r="P72" s="556">
        <f>[1]!srIx2Val(Q$6,O72,1)</f>
        <v>2.5000000000000001E-3</v>
      </c>
      <c r="Q72" s="559">
        <f>[1]!srIx2Val(Q$6,O72,5)</f>
        <v>3.0499999999999999E-2</v>
      </c>
      <c r="R72" s="554">
        <f t="shared" si="0"/>
        <v>-4.9695</v>
      </c>
      <c r="S72" s="465">
        <f>IF(R72&lt;=0,0,[1]!srRng2E(Q$6,R72))</f>
        <v>0</v>
      </c>
      <c r="T72" s="482" t="e">
        <f t="shared" si="1"/>
        <v>#N/A</v>
      </c>
      <c r="U72" s="466">
        <f t="shared" si="2"/>
        <v>2.5000000000000001E-3</v>
      </c>
      <c r="V72" s="466" t="e">
        <f t="shared" si="3"/>
        <v>#N/A</v>
      </c>
      <c r="W72" s="466">
        <f t="shared" si="4"/>
        <v>0.1</v>
      </c>
      <c r="Y72" s="35">
        <f t="shared" si="12"/>
        <v>81</v>
      </c>
      <c r="Z72" s="556">
        <f>[1]!srIx2Val(AA$6,Y72,1)</f>
        <v>2.142857142857143E-3</v>
      </c>
      <c r="AA72" s="559">
        <f>[1]!srIx2Val(AA$6,Y72,5)</f>
        <v>0.1045</v>
      </c>
      <c r="AB72" s="554">
        <f t="shared" si="6"/>
        <v>-4.8955000000000002</v>
      </c>
      <c r="AC72" s="465">
        <f>IF(AB72&lt;=0,0,[1]!srRng2E(AA$6,AB72))</f>
        <v>0</v>
      </c>
      <c r="AD72" s="466" t="e">
        <f t="shared" si="7"/>
        <v>#N/A</v>
      </c>
      <c r="AE72" s="466">
        <f t="shared" si="8"/>
        <v>2.142857142857143E-3</v>
      </c>
      <c r="AF72" s="466" t="e">
        <f t="shared" si="9"/>
        <v>#N/A</v>
      </c>
      <c r="AG72" s="466">
        <f t="shared" si="10"/>
        <v>0.18000000000000002</v>
      </c>
    </row>
    <row r="73" spans="3:33">
      <c r="C73" s="534"/>
      <c r="D73" s="489" t="s">
        <v>322</v>
      </c>
      <c r="E73" s="535">
        <v>10</v>
      </c>
      <c r="F73" s="535"/>
      <c r="G73" s="535">
        <v>49</v>
      </c>
      <c r="O73" s="35">
        <f t="shared" si="11"/>
        <v>82</v>
      </c>
      <c r="P73" s="556">
        <f>[1]!srIx2Val(Q$6,O73,1)</f>
        <v>2.7499999999999998E-3</v>
      </c>
      <c r="Q73" s="559">
        <f>[1]!srIx2Val(Q$6,O73,5)</f>
        <v>3.3399999999999999E-2</v>
      </c>
      <c r="R73" s="554">
        <f t="shared" si="0"/>
        <v>-4.9665999999999997</v>
      </c>
      <c r="S73" s="465">
        <f>IF(R73&lt;=0,0,[1]!srRng2E(Q$6,R73))</f>
        <v>0</v>
      </c>
      <c r="T73" s="482" t="e">
        <f t="shared" si="1"/>
        <v>#N/A</v>
      </c>
      <c r="U73" s="466">
        <f t="shared" si="2"/>
        <v>2.7499999999999998E-3</v>
      </c>
      <c r="V73" s="466" t="e">
        <f t="shared" si="3"/>
        <v>#N/A</v>
      </c>
      <c r="W73" s="466">
        <f t="shared" si="4"/>
        <v>0.10999999999999999</v>
      </c>
      <c r="Y73" s="35">
        <f t="shared" si="12"/>
        <v>82</v>
      </c>
      <c r="Z73" s="556">
        <f>[1]!srIx2Val(AA$6,Y73,1)</f>
        <v>2.3809523809523812E-3</v>
      </c>
      <c r="AA73" s="559">
        <f>[1]!srIx2Val(AA$6,Y73,5)</f>
        <v>0.11539999999999999</v>
      </c>
      <c r="AB73" s="554">
        <f t="shared" si="6"/>
        <v>-4.8845999999999998</v>
      </c>
      <c r="AC73" s="465">
        <f>IF(AB73&lt;=0,0,[1]!srRng2E(AA$6,AB73))</f>
        <v>0</v>
      </c>
      <c r="AD73" s="466" t="e">
        <f t="shared" si="7"/>
        <v>#N/A</v>
      </c>
      <c r="AE73" s="466">
        <f t="shared" si="8"/>
        <v>2.3809523809523812E-3</v>
      </c>
      <c r="AF73" s="466" t="e">
        <f t="shared" si="9"/>
        <v>#N/A</v>
      </c>
      <c r="AG73" s="466">
        <f t="shared" si="10"/>
        <v>0.2</v>
      </c>
    </row>
    <row r="74" spans="3:33">
      <c r="C74" s="534"/>
      <c r="D74" s="547" t="s">
        <v>321</v>
      </c>
      <c r="E74" s="535">
        <v>50</v>
      </c>
      <c r="F74" s="535"/>
      <c r="G74" s="535">
        <v>270</v>
      </c>
      <c r="O74" s="35">
        <f t="shared" si="11"/>
        <v>83</v>
      </c>
      <c r="P74" s="556">
        <f>[1]!srIx2Val(Q$6,O74,1)</f>
        <v>3.0000000000000001E-3</v>
      </c>
      <c r="Q74" s="559">
        <f>[1]!srIx2Val(Q$6,O74,5)</f>
        <v>3.6199999999999996E-2</v>
      </c>
      <c r="R74" s="554">
        <f t="shared" si="0"/>
        <v>-4.9638</v>
      </c>
      <c r="S74" s="465">
        <f>IF(R74&lt;=0,0,[1]!srRng2E(Q$6,R74))</f>
        <v>0</v>
      </c>
      <c r="T74" s="482" t="e">
        <f t="shared" si="1"/>
        <v>#N/A</v>
      </c>
      <c r="U74" s="466">
        <f t="shared" si="2"/>
        <v>3.0000000000000001E-3</v>
      </c>
      <c r="V74" s="466" t="e">
        <f t="shared" si="3"/>
        <v>#N/A</v>
      </c>
      <c r="W74" s="466">
        <f t="shared" si="4"/>
        <v>0.12</v>
      </c>
      <c r="Y74" s="35">
        <f t="shared" si="12"/>
        <v>83</v>
      </c>
      <c r="Z74" s="556">
        <f>[1]!srIx2Val(AA$6,Y74,1)</f>
        <v>2.6785714285714286E-3</v>
      </c>
      <c r="AA74" s="559">
        <f>[1]!srIx2Val(AA$6,Y74,5)</f>
        <v>0.1295</v>
      </c>
      <c r="AB74" s="554">
        <f t="shared" si="6"/>
        <v>-4.8704999999999998</v>
      </c>
      <c r="AC74" s="465">
        <f>IF(AB74&lt;=0,0,[1]!srRng2E(AA$6,AB74))</f>
        <v>0</v>
      </c>
      <c r="AD74" s="466" t="e">
        <f t="shared" si="7"/>
        <v>#N/A</v>
      </c>
      <c r="AE74" s="466">
        <f t="shared" si="8"/>
        <v>2.6785714285714286E-3</v>
      </c>
      <c r="AF74" s="466" t="e">
        <f t="shared" si="9"/>
        <v>#N/A</v>
      </c>
      <c r="AG74" s="466">
        <f t="shared" si="10"/>
        <v>0.22500000000000001</v>
      </c>
    </row>
    <row r="75" spans="3:33">
      <c r="O75" s="35">
        <f t="shared" si="11"/>
        <v>84</v>
      </c>
      <c r="P75" s="556">
        <f>[1]!srIx2Val(Q$6,O75,1)</f>
        <v>3.2500000000000003E-3</v>
      </c>
      <c r="Q75" s="559">
        <f>[1]!srIx2Val(Q$6,O75,5)</f>
        <v>3.9E-2</v>
      </c>
      <c r="R75" s="554">
        <f t="shared" ref="R75:R138" si="13">Q75-R$10</f>
        <v>-4.9610000000000003</v>
      </c>
      <c r="S75" s="465">
        <f>IF(R75&lt;=0,0,[1]!srRng2E(Q$6,R75))</f>
        <v>0</v>
      </c>
      <c r="T75" s="482" t="e">
        <f t="shared" si="1"/>
        <v>#N/A</v>
      </c>
      <c r="U75" s="466">
        <f t="shared" si="2"/>
        <v>3.2500000000000003E-3</v>
      </c>
      <c r="V75" s="466" t="e">
        <f t="shared" si="3"/>
        <v>#N/A</v>
      </c>
      <c r="W75" s="466">
        <f t="shared" si="4"/>
        <v>0.13</v>
      </c>
      <c r="Y75" s="35">
        <f t="shared" si="12"/>
        <v>84</v>
      </c>
      <c r="Z75" s="556">
        <f>[1]!srIx2Val(AA$6,Y75,1)</f>
        <v>2.976190476190476E-3</v>
      </c>
      <c r="AA75" s="559">
        <f>[1]!srIx2Val(AA$6,Y75,5)</f>
        <v>0.1439</v>
      </c>
      <c r="AB75" s="554">
        <f t="shared" si="6"/>
        <v>-4.8560999999999996</v>
      </c>
      <c r="AC75" s="465">
        <f>IF(AB75&lt;=0,0,[1]!srRng2E(AA$6,AB75))</f>
        <v>0</v>
      </c>
      <c r="AD75" s="466" t="e">
        <f t="shared" si="7"/>
        <v>#N/A</v>
      </c>
      <c r="AE75" s="466">
        <f t="shared" si="8"/>
        <v>2.976190476190476E-3</v>
      </c>
      <c r="AF75" s="466" t="e">
        <f t="shared" si="9"/>
        <v>#N/A</v>
      </c>
      <c r="AG75" s="466">
        <f t="shared" si="10"/>
        <v>0.25</v>
      </c>
    </row>
    <row r="76" spans="3:33">
      <c r="O76" s="35">
        <f t="shared" si="11"/>
        <v>85</v>
      </c>
      <c r="P76" s="556">
        <f>[1]!srIx2Val(Q$6,O76,1)</f>
        <v>3.5000000000000005E-3</v>
      </c>
      <c r="Q76" s="559">
        <f>[1]!srIx2Val(Q$6,O76,5)</f>
        <v>4.19E-2</v>
      </c>
      <c r="R76" s="554">
        <f t="shared" si="13"/>
        <v>-4.9581</v>
      </c>
      <c r="S76" s="465">
        <f>IF(R76&lt;=0,0,[1]!srRng2E(Q$6,R76))</f>
        <v>0</v>
      </c>
      <c r="T76" s="482" t="e">
        <f t="shared" ref="T76:T139" si="14">IF((R76&lt;=0),NA(),P76-S76)</f>
        <v>#N/A</v>
      </c>
      <c r="U76" s="466">
        <f t="shared" ref="U76:U139" si="15">IF((R76&lt;=0),P76-S76,NA())</f>
        <v>3.5000000000000005E-3</v>
      </c>
      <c r="V76" s="466" t="e">
        <f t="shared" ref="V76:V139" si="16">IF((R76&lt;0),NA(),T76*V$6)</f>
        <v>#N/A</v>
      </c>
      <c r="W76" s="466">
        <f t="shared" ref="W76:W139" si="17">IF((R76&lt;0),U76*V$6,NA())</f>
        <v>0.14000000000000001</v>
      </c>
      <c r="Y76" s="35">
        <f t="shared" si="12"/>
        <v>85</v>
      </c>
      <c r="Z76" s="556">
        <f>[1]!srIx2Val(AA$6,Y76,1)</f>
        <v>3.2738095238095239E-3</v>
      </c>
      <c r="AA76" s="559">
        <f>[1]!srIx2Val(AA$6,Y76,5)</f>
        <v>0.1585</v>
      </c>
      <c r="AB76" s="554">
        <f t="shared" ref="AB76:AB139" si="18">AA76-AB$10</f>
        <v>-4.8414999999999999</v>
      </c>
      <c r="AC76" s="465">
        <f>IF(AB76&lt;=0,0,[1]!srRng2E(AA$6,AB76))</f>
        <v>0</v>
      </c>
      <c r="AD76" s="466" t="e">
        <f t="shared" ref="AD76:AD139" si="19">IF((AB76&lt;=0),NA(),Z76-AC76)</f>
        <v>#N/A</v>
      </c>
      <c r="AE76" s="466">
        <f t="shared" ref="AE76:AE139" si="20">IF((AB76&lt;=0),Z76-AC76,NA())</f>
        <v>3.2738095238095239E-3</v>
      </c>
      <c r="AF76" s="466" t="e">
        <f t="shared" ref="AF76:AF139" si="21">IF((AB76&lt;0),NA(),AD76*AF$6)</f>
        <v>#N/A</v>
      </c>
      <c r="AG76" s="466">
        <f t="shared" ref="AG76:AG139" si="22">IF((AB76&lt;0),AE76*AF$6,NA())</f>
        <v>0.27500000000000002</v>
      </c>
    </row>
    <row r="77" spans="3:33">
      <c r="O77" s="35">
        <f t="shared" ref="O77:O140" si="23">O76+1</f>
        <v>86</v>
      </c>
      <c r="P77" s="556">
        <f>[1]!srIx2Val(Q$6,O77,1)</f>
        <v>3.7499999999999999E-3</v>
      </c>
      <c r="Q77" s="559">
        <f>[1]!srIx2Val(Q$6,O77,5)</f>
        <v>4.48E-2</v>
      </c>
      <c r="R77" s="554">
        <f t="shared" si="13"/>
        <v>-4.9551999999999996</v>
      </c>
      <c r="S77" s="465">
        <f>IF(R77&lt;=0,0,[1]!srRng2E(Q$6,R77))</f>
        <v>0</v>
      </c>
      <c r="T77" s="482" t="e">
        <f t="shared" si="14"/>
        <v>#N/A</v>
      </c>
      <c r="U77" s="466">
        <f t="shared" si="15"/>
        <v>3.7499999999999999E-3</v>
      </c>
      <c r="V77" s="466" t="e">
        <f t="shared" si="16"/>
        <v>#N/A</v>
      </c>
      <c r="W77" s="466">
        <f t="shared" si="17"/>
        <v>0.15</v>
      </c>
      <c r="Y77" s="35">
        <f t="shared" si="12"/>
        <v>86</v>
      </c>
      <c r="Z77" s="556">
        <f>[1]!srIx2Val(AA$6,Y77,1)</f>
        <v>3.5714285714285713E-3</v>
      </c>
      <c r="AA77" s="559">
        <f>[1]!srIx2Val(AA$6,Y77,5)</f>
        <v>0.17319999999999999</v>
      </c>
      <c r="AB77" s="554">
        <f t="shared" si="18"/>
        <v>-4.8268000000000004</v>
      </c>
      <c r="AC77" s="465">
        <f>IF(AB77&lt;=0,0,[1]!srRng2E(AA$6,AB77))</f>
        <v>0</v>
      </c>
      <c r="AD77" s="466" t="e">
        <f t="shared" si="19"/>
        <v>#N/A</v>
      </c>
      <c r="AE77" s="466">
        <f t="shared" si="20"/>
        <v>3.5714285714285713E-3</v>
      </c>
      <c r="AF77" s="466" t="e">
        <f t="shared" si="21"/>
        <v>#N/A</v>
      </c>
      <c r="AG77" s="466">
        <f t="shared" si="22"/>
        <v>0.3</v>
      </c>
    </row>
    <row r="78" spans="3:33">
      <c r="O78" s="35">
        <f t="shared" si="23"/>
        <v>87</v>
      </c>
      <c r="P78" s="556">
        <f>[1]!srIx2Val(Q$6,O78,1)</f>
        <v>4.0000000000000001E-3</v>
      </c>
      <c r="Q78" s="559">
        <f>[1]!srIx2Val(Q$6,O78,5)</f>
        <v>4.7699999999999999E-2</v>
      </c>
      <c r="R78" s="554">
        <f t="shared" si="13"/>
        <v>-4.9523000000000001</v>
      </c>
      <c r="S78" s="465">
        <f>IF(R78&lt;=0,0,[1]!srRng2E(Q$6,R78))</f>
        <v>0</v>
      </c>
      <c r="T78" s="482" t="e">
        <f t="shared" si="14"/>
        <v>#N/A</v>
      </c>
      <c r="U78" s="466">
        <f t="shared" si="15"/>
        <v>4.0000000000000001E-3</v>
      </c>
      <c r="V78" s="466" t="e">
        <f t="shared" si="16"/>
        <v>#N/A</v>
      </c>
      <c r="W78" s="466">
        <f t="shared" si="17"/>
        <v>0.16</v>
      </c>
      <c r="Y78" s="35">
        <f t="shared" si="12"/>
        <v>87</v>
      </c>
      <c r="Z78" s="556">
        <f>[1]!srIx2Val(AA$6,Y78,1)</f>
        <v>3.8690476190476192E-3</v>
      </c>
      <c r="AA78" s="559">
        <f>[1]!srIx2Val(AA$6,Y78,5)</f>
        <v>0.18790000000000001</v>
      </c>
      <c r="AB78" s="554">
        <f t="shared" si="18"/>
        <v>-4.8121</v>
      </c>
      <c r="AC78" s="465">
        <f>IF(AB78&lt;=0,0,[1]!srRng2E(AA$6,AB78))</f>
        <v>0</v>
      </c>
      <c r="AD78" s="466" t="e">
        <f t="shared" si="19"/>
        <v>#N/A</v>
      </c>
      <c r="AE78" s="466">
        <f t="shared" si="20"/>
        <v>3.8690476190476192E-3</v>
      </c>
      <c r="AF78" s="466" t="e">
        <f t="shared" si="21"/>
        <v>#N/A</v>
      </c>
      <c r="AG78" s="466">
        <f t="shared" si="22"/>
        <v>0.32500000000000001</v>
      </c>
    </row>
    <row r="79" spans="3:33">
      <c r="O79" s="35">
        <f t="shared" si="23"/>
        <v>88</v>
      </c>
      <c r="P79" s="556">
        <f>[1]!srIx2Val(Q$6,O79,1)</f>
        <v>4.2500000000000003E-3</v>
      </c>
      <c r="Q79" s="559">
        <f>[1]!srIx2Val(Q$6,O79,5)</f>
        <v>5.0599999999999999E-2</v>
      </c>
      <c r="R79" s="554">
        <f t="shared" si="13"/>
        <v>-4.9493999999999998</v>
      </c>
      <c r="S79" s="465">
        <f>IF(R79&lt;=0,0,[1]!srRng2E(Q$6,R79))</f>
        <v>0</v>
      </c>
      <c r="T79" s="482" t="e">
        <f t="shared" si="14"/>
        <v>#N/A</v>
      </c>
      <c r="U79" s="466">
        <f t="shared" si="15"/>
        <v>4.2500000000000003E-3</v>
      </c>
      <c r="V79" s="466" t="e">
        <f t="shared" si="16"/>
        <v>#N/A</v>
      </c>
      <c r="W79" s="466">
        <f t="shared" si="17"/>
        <v>0.17</v>
      </c>
      <c r="Y79" s="35">
        <f t="shared" si="12"/>
        <v>88</v>
      </c>
      <c r="Z79" s="556">
        <f>[1]!srIx2Val(AA$6,Y79,1)</f>
        <v>4.1666666666666666E-3</v>
      </c>
      <c r="AA79" s="559">
        <f>[1]!srIx2Val(AA$6,Y79,5)</f>
        <v>0.20270000000000002</v>
      </c>
      <c r="AB79" s="554">
        <f t="shared" si="18"/>
        <v>-4.7972999999999999</v>
      </c>
      <c r="AC79" s="465">
        <f>IF(AB79&lt;=0,0,[1]!srRng2E(AA$6,AB79))</f>
        <v>0</v>
      </c>
      <c r="AD79" s="466" t="e">
        <f t="shared" si="19"/>
        <v>#N/A</v>
      </c>
      <c r="AE79" s="466">
        <f t="shared" si="20"/>
        <v>4.1666666666666666E-3</v>
      </c>
      <c r="AF79" s="466" t="e">
        <f t="shared" si="21"/>
        <v>#N/A</v>
      </c>
      <c r="AG79" s="466">
        <f t="shared" si="22"/>
        <v>0.35</v>
      </c>
    </row>
    <row r="80" spans="3:33">
      <c r="O80" s="35">
        <f t="shared" si="23"/>
        <v>89</v>
      </c>
      <c r="P80" s="556">
        <f>[1]!srIx2Val(Q$6,O80,1)</f>
        <v>4.4999999999999997E-3</v>
      </c>
      <c r="Q80" s="559">
        <f>[1]!srIx2Val(Q$6,O80,5)</f>
        <v>5.3500000000000006E-2</v>
      </c>
      <c r="R80" s="554">
        <f t="shared" si="13"/>
        <v>-4.9465000000000003</v>
      </c>
      <c r="S80" s="465">
        <f>IF(R80&lt;=0,0,[1]!srRng2E(Q$6,R80))</f>
        <v>0</v>
      </c>
      <c r="T80" s="482" t="e">
        <f t="shared" si="14"/>
        <v>#N/A</v>
      </c>
      <c r="U80" s="466">
        <f t="shared" si="15"/>
        <v>4.4999999999999997E-3</v>
      </c>
      <c r="V80" s="466" t="e">
        <f t="shared" si="16"/>
        <v>#N/A</v>
      </c>
      <c r="W80" s="466">
        <f t="shared" si="17"/>
        <v>0.18</v>
      </c>
      <c r="Y80" s="35">
        <f t="shared" si="12"/>
        <v>89</v>
      </c>
      <c r="Z80" s="556">
        <f>[1]!srIx2Val(AA$6,Y80,1)</f>
        <v>4.464285714285714E-3</v>
      </c>
      <c r="AA80" s="559">
        <f>[1]!srIx2Val(AA$6,Y80,5)</f>
        <v>0.21760000000000002</v>
      </c>
      <c r="AB80" s="554">
        <f t="shared" si="18"/>
        <v>-4.7824</v>
      </c>
      <c r="AC80" s="465">
        <f>IF(AB80&lt;=0,0,[1]!srRng2E(AA$6,AB80))</f>
        <v>0</v>
      </c>
      <c r="AD80" s="466" t="e">
        <f t="shared" si="19"/>
        <v>#N/A</v>
      </c>
      <c r="AE80" s="466">
        <f t="shared" si="20"/>
        <v>4.464285714285714E-3</v>
      </c>
      <c r="AF80" s="466" t="e">
        <f t="shared" si="21"/>
        <v>#N/A</v>
      </c>
      <c r="AG80" s="466">
        <f t="shared" si="22"/>
        <v>0.375</v>
      </c>
    </row>
    <row r="81" spans="15:33">
      <c r="O81" s="35">
        <f t="shared" si="23"/>
        <v>90</v>
      </c>
      <c r="P81" s="556">
        <f>[1]!srIx2Val(Q$6,O81,1)</f>
        <v>5.0000000000000001E-3</v>
      </c>
      <c r="Q81" s="559">
        <f>[1]!srIx2Val(Q$6,O81,5)</f>
        <v>5.9399999999999994E-2</v>
      </c>
      <c r="R81" s="554">
        <f t="shared" si="13"/>
        <v>-4.9405999999999999</v>
      </c>
      <c r="S81" s="465">
        <f>IF(R81&lt;=0,0,[1]!srRng2E(Q$6,R81))</f>
        <v>0</v>
      </c>
      <c r="T81" s="482" t="e">
        <f t="shared" si="14"/>
        <v>#N/A</v>
      </c>
      <c r="U81" s="466">
        <f t="shared" si="15"/>
        <v>5.0000000000000001E-3</v>
      </c>
      <c r="V81" s="466" t="e">
        <f t="shared" si="16"/>
        <v>#N/A</v>
      </c>
      <c r="W81" s="466">
        <f t="shared" si="17"/>
        <v>0.2</v>
      </c>
      <c r="Y81" s="35">
        <f t="shared" si="12"/>
        <v>90</v>
      </c>
      <c r="Z81" s="556">
        <f>[1]!srIx2Val(AA$6,Y81,1)</f>
        <v>4.7619047619047623E-3</v>
      </c>
      <c r="AA81" s="559">
        <f>[1]!srIx2Val(AA$6,Y81,5)</f>
        <v>0.2324</v>
      </c>
      <c r="AB81" s="554">
        <f t="shared" si="18"/>
        <v>-4.7675999999999998</v>
      </c>
      <c r="AC81" s="465">
        <f>IF(AB81&lt;=0,0,[1]!srRng2E(AA$6,AB81))</f>
        <v>0</v>
      </c>
      <c r="AD81" s="466" t="e">
        <f t="shared" si="19"/>
        <v>#N/A</v>
      </c>
      <c r="AE81" s="466">
        <f t="shared" si="20"/>
        <v>4.7619047619047623E-3</v>
      </c>
      <c r="AF81" s="466" t="e">
        <f t="shared" si="21"/>
        <v>#N/A</v>
      </c>
      <c r="AG81" s="466">
        <f t="shared" si="22"/>
        <v>0.4</v>
      </c>
    </row>
    <row r="82" spans="15:33">
      <c r="O82" s="35">
        <f t="shared" si="23"/>
        <v>91</v>
      </c>
      <c r="P82" s="556">
        <f>[1]!srIx2Val(Q$6,O82,1)</f>
        <v>5.6249999999999998E-3</v>
      </c>
      <c r="Q82" s="559">
        <f>[1]!srIx2Val(Q$6,O82,5)</f>
        <v>6.7000000000000004E-2</v>
      </c>
      <c r="R82" s="554">
        <f t="shared" si="13"/>
        <v>-4.9329999999999998</v>
      </c>
      <c r="S82" s="465">
        <f>IF(R82&lt;=0,0,[1]!srRng2E(Q$6,R82))</f>
        <v>0</v>
      </c>
      <c r="T82" s="482" t="e">
        <f t="shared" si="14"/>
        <v>#N/A</v>
      </c>
      <c r="U82" s="466">
        <f t="shared" si="15"/>
        <v>5.6249999999999998E-3</v>
      </c>
      <c r="V82" s="466" t="e">
        <f t="shared" si="16"/>
        <v>#N/A</v>
      </c>
      <c r="W82" s="466">
        <f t="shared" si="17"/>
        <v>0.22499999999999998</v>
      </c>
      <c r="Y82" s="35">
        <f t="shared" si="12"/>
        <v>91</v>
      </c>
      <c r="Z82" s="556">
        <f>[1]!srIx2Val(AA$6,Y82,1)</f>
        <v>5.3571428571428572E-3</v>
      </c>
      <c r="AA82" s="559">
        <f>[1]!srIx2Val(AA$6,Y82,5)</f>
        <v>0.26230000000000003</v>
      </c>
      <c r="AB82" s="554">
        <f t="shared" si="18"/>
        <v>-4.7377000000000002</v>
      </c>
      <c r="AC82" s="465">
        <f>IF(AB82&lt;=0,0,[1]!srRng2E(AA$6,AB82))</f>
        <v>0</v>
      </c>
      <c r="AD82" s="466" t="e">
        <f t="shared" si="19"/>
        <v>#N/A</v>
      </c>
      <c r="AE82" s="466">
        <f t="shared" si="20"/>
        <v>5.3571428571428572E-3</v>
      </c>
      <c r="AF82" s="466" t="e">
        <f t="shared" si="21"/>
        <v>#N/A</v>
      </c>
      <c r="AG82" s="466">
        <f t="shared" si="22"/>
        <v>0.45</v>
      </c>
    </row>
    <row r="83" spans="15:33">
      <c r="O83" s="35">
        <f t="shared" si="23"/>
        <v>92</v>
      </c>
      <c r="P83" s="556">
        <f>[1]!srIx2Val(Q$6,O83,1)</f>
        <v>6.2500000000000003E-3</v>
      </c>
      <c r="Q83" s="559">
        <f>[1]!srIx2Val(Q$6,O83,5)</f>
        <v>7.4700000000000003E-2</v>
      </c>
      <c r="R83" s="554">
        <f t="shared" si="13"/>
        <v>-4.9253</v>
      </c>
      <c r="S83" s="465">
        <f>IF(R83&lt;=0,0,[1]!srRng2E(Q$6,R83))</f>
        <v>0</v>
      </c>
      <c r="T83" s="482" t="e">
        <f t="shared" si="14"/>
        <v>#N/A</v>
      </c>
      <c r="U83" s="466">
        <f t="shared" si="15"/>
        <v>6.2500000000000003E-3</v>
      </c>
      <c r="V83" s="466" t="e">
        <f t="shared" si="16"/>
        <v>#N/A</v>
      </c>
      <c r="W83" s="466">
        <f t="shared" si="17"/>
        <v>0.25</v>
      </c>
      <c r="Y83" s="35">
        <f t="shared" si="12"/>
        <v>92</v>
      </c>
      <c r="Z83" s="556">
        <f>[1]!srIx2Val(AA$6,Y83,1)</f>
        <v>5.9523809523809521E-3</v>
      </c>
      <c r="AA83" s="559">
        <f>[1]!srIx2Val(AA$6,Y83,5)</f>
        <v>0.2923</v>
      </c>
      <c r="AB83" s="554">
        <f t="shared" si="18"/>
        <v>-4.7077</v>
      </c>
      <c r="AC83" s="465">
        <f>IF(AB83&lt;=0,0,[1]!srRng2E(AA$6,AB83))</f>
        <v>0</v>
      </c>
      <c r="AD83" s="466" t="e">
        <f t="shared" si="19"/>
        <v>#N/A</v>
      </c>
      <c r="AE83" s="466">
        <f t="shared" si="20"/>
        <v>5.9523809523809521E-3</v>
      </c>
      <c r="AF83" s="466" t="e">
        <f t="shared" si="21"/>
        <v>#N/A</v>
      </c>
      <c r="AG83" s="466">
        <f t="shared" si="22"/>
        <v>0.5</v>
      </c>
    </row>
    <row r="84" spans="15:33">
      <c r="O84" s="35">
        <f t="shared" si="23"/>
        <v>93</v>
      </c>
      <c r="P84" s="556">
        <f>[1]!srIx2Val(Q$6,O84,1)</f>
        <v>6.8750000000000009E-3</v>
      </c>
      <c r="Q84" s="559">
        <f>[1]!srIx2Val(Q$6,O84,5)</f>
        <v>8.249999999999999E-2</v>
      </c>
      <c r="R84" s="554">
        <f t="shared" si="13"/>
        <v>-4.9175000000000004</v>
      </c>
      <c r="S84" s="465">
        <f>IF(R84&lt;=0,0,[1]!srRng2E(Q$6,R84))</f>
        <v>0</v>
      </c>
      <c r="T84" s="482" t="e">
        <f t="shared" si="14"/>
        <v>#N/A</v>
      </c>
      <c r="U84" s="466">
        <f t="shared" si="15"/>
        <v>6.8750000000000009E-3</v>
      </c>
      <c r="V84" s="466" t="e">
        <f t="shared" si="16"/>
        <v>#N/A</v>
      </c>
      <c r="W84" s="466">
        <f t="shared" si="17"/>
        <v>0.27500000000000002</v>
      </c>
      <c r="Y84" s="35">
        <f t="shared" si="12"/>
        <v>93</v>
      </c>
      <c r="Z84" s="556">
        <f>[1]!srIx2Val(AA$6,Y84,1)</f>
        <v>6.5476190476190478E-3</v>
      </c>
      <c r="AA84" s="559">
        <f>[1]!srIx2Val(AA$6,Y84,5)</f>
        <v>0.3226</v>
      </c>
      <c r="AB84" s="554">
        <f t="shared" si="18"/>
        <v>-4.6774000000000004</v>
      </c>
      <c r="AC84" s="465">
        <f>IF(AB84&lt;=0,0,[1]!srRng2E(AA$6,AB84))</f>
        <v>0</v>
      </c>
      <c r="AD84" s="466" t="e">
        <f t="shared" si="19"/>
        <v>#N/A</v>
      </c>
      <c r="AE84" s="466">
        <f t="shared" si="20"/>
        <v>6.5476190476190478E-3</v>
      </c>
      <c r="AF84" s="466" t="e">
        <f t="shared" si="21"/>
        <v>#N/A</v>
      </c>
      <c r="AG84" s="466">
        <f t="shared" si="22"/>
        <v>0.55000000000000004</v>
      </c>
    </row>
    <row r="85" spans="15:33">
      <c r="O85" s="35">
        <f t="shared" si="23"/>
        <v>94</v>
      </c>
      <c r="P85" s="556">
        <f>[1]!srIx2Val(Q$6,O85,1)</f>
        <v>7.4999999999999997E-3</v>
      </c>
      <c r="Q85" s="559">
        <f>[1]!srIx2Val(Q$6,O85,5)</f>
        <v>9.0400000000000008E-2</v>
      </c>
      <c r="R85" s="554">
        <f t="shared" si="13"/>
        <v>-4.9096000000000002</v>
      </c>
      <c r="S85" s="465">
        <f>IF(R85&lt;=0,0,[1]!srRng2E(Q$6,R85))</f>
        <v>0</v>
      </c>
      <c r="T85" s="482" t="e">
        <f t="shared" si="14"/>
        <v>#N/A</v>
      </c>
      <c r="U85" s="466">
        <f t="shared" si="15"/>
        <v>7.4999999999999997E-3</v>
      </c>
      <c r="V85" s="466" t="e">
        <f t="shared" si="16"/>
        <v>#N/A</v>
      </c>
      <c r="W85" s="466">
        <f t="shared" si="17"/>
        <v>0.3</v>
      </c>
      <c r="Y85" s="35">
        <f t="shared" si="12"/>
        <v>94</v>
      </c>
      <c r="Z85" s="556">
        <f>[1]!srIx2Val(AA$6,Y85,1)</f>
        <v>7.1428571428571426E-3</v>
      </c>
      <c r="AA85" s="559">
        <f>[1]!srIx2Val(AA$6,Y85,5)</f>
        <v>0.35299999999999998</v>
      </c>
      <c r="AB85" s="554">
        <f t="shared" si="18"/>
        <v>-4.6470000000000002</v>
      </c>
      <c r="AC85" s="465">
        <f>IF(AB85&lt;=0,0,[1]!srRng2E(AA$6,AB85))</f>
        <v>0</v>
      </c>
      <c r="AD85" s="466" t="e">
        <f t="shared" si="19"/>
        <v>#N/A</v>
      </c>
      <c r="AE85" s="466">
        <f t="shared" si="20"/>
        <v>7.1428571428571426E-3</v>
      </c>
      <c r="AF85" s="466" t="e">
        <f t="shared" si="21"/>
        <v>#N/A</v>
      </c>
      <c r="AG85" s="466">
        <f t="shared" si="22"/>
        <v>0.6</v>
      </c>
    </row>
    <row r="86" spans="15:33">
      <c r="O86" s="35">
        <f t="shared" si="23"/>
        <v>95</v>
      </c>
      <c r="P86" s="556">
        <f>[1]!srIx2Val(Q$6,O86,1)</f>
        <v>8.1250000000000003E-3</v>
      </c>
      <c r="Q86" s="559">
        <f>[1]!srIx2Val(Q$6,O86,5)</f>
        <v>9.8400000000000001E-2</v>
      </c>
      <c r="R86" s="554">
        <f t="shared" si="13"/>
        <v>-4.9016000000000002</v>
      </c>
      <c r="S86" s="465">
        <f>IF(R86&lt;=0,0,[1]!srRng2E(Q$6,R86))</f>
        <v>0</v>
      </c>
      <c r="T86" s="482" t="e">
        <f t="shared" si="14"/>
        <v>#N/A</v>
      </c>
      <c r="U86" s="466">
        <f t="shared" si="15"/>
        <v>8.1250000000000003E-3</v>
      </c>
      <c r="V86" s="466" t="e">
        <f t="shared" si="16"/>
        <v>#N/A</v>
      </c>
      <c r="W86" s="466">
        <f t="shared" si="17"/>
        <v>0.32500000000000001</v>
      </c>
      <c r="Y86" s="35">
        <f t="shared" ref="Y86:Y149" si="24">Y85+1</f>
        <v>95</v>
      </c>
      <c r="Z86" s="556">
        <f>[1]!srIx2Val(AA$6,Y86,1)</f>
        <v>7.7380952380952384E-3</v>
      </c>
      <c r="AA86" s="559">
        <f>[1]!srIx2Val(AA$6,Y86,5)</f>
        <v>0.38380000000000003</v>
      </c>
      <c r="AB86" s="554">
        <f t="shared" si="18"/>
        <v>-4.6162000000000001</v>
      </c>
      <c r="AC86" s="465">
        <f>IF(AB86&lt;=0,0,[1]!srRng2E(AA$6,AB86))</f>
        <v>0</v>
      </c>
      <c r="AD86" s="466" t="e">
        <f t="shared" si="19"/>
        <v>#N/A</v>
      </c>
      <c r="AE86" s="466">
        <f t="shared" si="20"/>
        <v>7.7380952380952384E-3</v>
      </c>
      <c r="AF86" s="466" t="e">
        <f t="shared" si="21"/>
        <v>#N/A</v>
      </c>
      <c r="AG86" s="466">
        <f t="shared" si="22"/>
        <v>0.65</v>
      </c>
    </row>
    <row r="87" spans="15:33">
      <c r="O87" s="35">
        <f t="shared" si="23"/>
        <v>96</v>
      </c>
      <c r="P87" s="556">
        <f>[1]!srIx2Val(Q$6,O87,1)</f>
        <v>8.7499999999999991E-3</v>
      </c>
      <c r="Q87" s="559">
        <f>[1]!srIx2Val(Q$6,O87,5)</f>
        <v>0.1065</v>
      </c>
      <c r="R87" s="554">
        <f t="shared" si="13"/>
        <v>-4.8935000000000004</v>
      </c>
      <c r="S87" s="465">
        <f>IF(R87&lt;=0,0,[1]!srRng2E(Q$6,R87))</f>
        <v>0</v>
      </c>
      <c r="T87" s="482" t="e">
        <f t="shared" si="14"/>
        <v>#N/A</v>
      </c>
      <c r="U87" s="466">
        <f t="shared" si="15"/>
        <v>8.7499999999999991E-3</v>
      </c>
      <c r="V87" s="466" t="e">
        <f t="shared" si="16"/>
        <v>#N/A</v>
      </c>
      <c r="W87" s="466">
        <f t="shared" si="17"/>
        <v>0.35</v>
      </c>
      <c r="Y87" s="35">
        <f t="shared" si="24"/>
        <v>96</v>
      </c>
      <c r="Z87" s="556">
        <f>[1]!srIx2Val(AA$6,Y87,1)</f>
        <v>8.3333333333333332E-3</v>
      </c>
      <c r="AA87" s="559">
        <f>[1]!srIx2Val(AA$6,Y87,5)</f>
        <v>0.41470000000000001</v>
      </c>
      <c r="AB87" s="554">
        <f t="shared" si="18"/>
        <v>-4.5853000000000002</v>
      </c>
      <c r="AC87" s="465">
        <f>IF(AB87&lt;=0,0,[1]!srRng2E(AA$6,AB87))</f>
        <v>0</v>
      </c>
      <c r="AD87" s="466" t="e">
        <f t="shared" si="19"/>
        <v>#N/A</v>
      </c>
      <c r="AE87" s="466">
        <f t="shared" si="20"/>
        <v>8.3333333333333332E-3</v>
      </c>
      <c r="AF87" s="466" t="e">
        <f t="shared" si="21"/>
        <v>#N/A</v>
      </c>
      <c r="AG87" s="466">
        <f t="shared" si="22"/>
        <v>0.7</v>
      </c>
    </row>
    <row r="88" spans="15:33">
      <c r="O88" s="35">
        <f t="shared" si="23"/>
        <v>97</v>
      </c>
      <c r="P88" s="556">
        <f>[1]!srIx2Val(Q$6,O88,1)</f>
        <v>9.3749999999999997E-3</v>
      </c>
      <c r="Q88" s="559">
        <f>[1]!srIx2Val(Q$6,O88,5)</f>
        <v>0.11459999999999999</v>
      </c>
      <c r="R88" s="554">
        <f t="shared" si="13"/>
        <v>-4.8853999999999997</v>
      </c>
      <c r="S88" s="465">
        <f>IF(R88&lt;=0,0,[1]!srRng2E(Q$6,R88))</f>
        <v>0</v>
      </c>
      <c r="T88" s="482" t="e">
        <f t="shared" si="14"/>
        <v>#N/A</v>
      </c>
      <c r="U88" s="466">
        <f t="shared" si="15"/>
        <v>9.3749999999999997E-3</v>
      </c>
      <c r="V88" s="466" t="e">
        <f t="shared" si="16"/>
        <v>#N/A</v>
      </c>
      <c r="W88" s="466">
        <f t="shared" si="17"/>
        <v>0.375</v>
      </c>
      <c r="Y88" s="35">
        <f t="shared" si="24"/>
        <v>97</v>
      </c>
      <c r="Z88" s="556">
        <f>[1]!srIx2Val(AA$6,Y88,1)</f>
        <v>9.5238095238095247E-3</v>
      </c>
      <c r="AA88" s="559">
        <f>[1]!srIx2Val(AA$6,Y88,5)</f>
        <v>0.47729999999999995</v>
      </c>
      <c r="AB88" s="554">
        <f t="shared" si="18"/>
        <v>-4.5227000000000004</v>
      </c>
      <c r="AC88" s="465">
        <f>IF(AB88&lt;=0,0,[1]!srRng2E(AA$6,AB88))</f>
        <v>0</v>
      </c>
      <c r="AD88" s="466" t="e">
        <f t="shared" si="19"/>
        <v>#N/A</v>
      </c>
      <c r="AE88" s="466">
        <f t="shared" si="20"/>
        <v>9.5238095238095247E-3</v>
      </c>
      <c r="AF88" s="466" t="e">
        <f t="shared" si="21"/>
        <v>#N/A</v>
      </c>
      <c r="AG88" s="466">
        <f t="shared" si="22"/>
        <v>0.8</v>
      </c>
    </row>
    <row r="89" spans="15:33">
      <c r="O89" s="35">
        <f t="shared" si="23"/>
        <v>98</v>
      </c>
      <c r="P89" s="556">
        <f>[1]!srIx2Val(Q$6,O89,1)</f>
        <v>0.01</v>
      </c>
      <c r="Q89" s="559">
        <f>[1]!srIx2Val(Q$6,O89,5)</f>
        <v>0.12279999999999999</v>
      </c>
      <c r="R89" s="554">
        <f t="shared" si="13"/>
        <v>-4.8772000000000002</v>
      </c>
      <c r="S89" s="465">
        <f>IF(R89&lt;=0,0,[1]!srRng2E(Q$6,R89))</f>
        <v>0</v>
      </c>
      <c r="T89" s="482" t="e">
        <f t="shared" si="14"/>
        <v>#N/A</v>
      </c>
      <c r="U89" s="466">
        <f t="shared" si="15"/>
        <v>0.01</v>
      </c>
      <c r="V89" s="466" t="e">
        <f t="shared" si="16"/>
        <v>#N/A</v>
      </c>
      <c r="W89" s="466">
        <f t="shared" si="17"/>
        <v>0.4</v>
      </c>
      <c r="Y89" s="35">
        <f t="shared" si="24"/>
        <v>98</v>
      </c>
      <c r="Z89" s="556">
        <f>[1]!srIx2Val(AA$6,Y89,1)</f>
        <v>1.0714285714285714E-2</v>
      </c>
      <c r="AA89" s="559">
        <f>[1]!srIx2Val(AA$6,Y89,5)</f>
        <v>0.54039999999999999</v>
      </c>
      <c r="AB89" s="554">
        <f t="shared" si="18"/>
        <v>-4.4596</v>
      </c>
      <c r="AC89" s="465">
        <f>IF(AB89&lt;=0,0,[1]!srRng2E(AA$6,AB89))</f>
        <v>0</v>
      </c>
      <c r="AD89" s="466" t="e">
        <f t="shared" si="19"/>
        <v>#N/A</v>
      </c>
      <c r="AE89" s="466">
        <f t="shared" si="20"/>
        <v>1.0714285714285714E-2</v>
      </c>
      <c r="AF89" s="466" t="e">
        <f t="shared" si="21"/>
        <v>#N/A</v>
      </c>
      <c r="AG89" s="466">
        <f t="shared" si="22"/>
        <v>0.9</v>
      </c>
    </row>
    <row r="90" spans="15:33">
      <c r="O90" s="35">
        <f t="shared" si="23"/>
        <v>99</v>
      </c>
      <c r="P90" s="556">
        <f>[1]!srIx2Val(Q$6,O90,1)</f>
        <v>1.125E-2</v>
      </c>
      <c r="Q90" s="559">
        <f>[1]!srIx2Val(Q$6,O90,5)</f>
        <v>0.13930000000000001</v>
      </c>
      <c r="R90" s="554">
        <f t="shared" si="13"/>
        <v>-4.8606999999999996</v>
      </c>
      <c r="S90" s="465">
        <f>IF(R90&lt;=0,0,[1]!srRng2E(Q$6,R90))</f>
        <v>0</v>
      </c>
      <c r="T90" s="482" t="e">
        <f t="shared" si="14"/>
        <v>#N/A</v>
      </c>
      <c r="U90" s="466">
        <f t="shared" si="15"/>
        <v>1.125E-2</v>
      </c>
      <c r="V90" s="466" t="e">
        <f t="shared" si="16"/>
        <v>#N/A</v>
      </c>
      <c r="W90" s="466">
        <f t="shared" si="17"/>
        <v>0.44999999999999996</v>
      </c>
      <c r="Y90" s="35">
        <f t="shared" si="24"/>
        <v>99</v>
      </c>
      <c r="Z90" s="556">
        <f>[1]!srIx2Val(AA$6,Y90,1)</f>
        <v>1.1904761904761904E-2</v>
      </c>
      <c r="AA90" s="559">
        <f>[1]!srIx2Val(AA$6,Y90,5)</f>
        <v>0.60399999999999998</v>
      </c>
      <c r="AB90" s="554">
        <f t="shared" si="18"/>
        <v>-4.3959999999999999</v>
      </c>
      <c r="AC90" s="465">
        <f>IF(AB90&lt;=0,0,[1]!srRng2E(AA$6,AB90))</f>
        <v>0</v>
      </c>
      <c r="AD90" s="466" t="e">
        <f t="shared" si="19"/>
        <v>#N/A</v>
      </c>
      <c r="AE90" s="466">
        <f t="shared" si="20"/>
        <v>1.1904761904761904E-2</v>
      </c>
      <c r="AF90" s="466" t="e">
        <f t="shared" si="21"/>
        <v>#N/A</v>
      </c>
      <c r="AG90" s="466">
        <f t="shared" si="22"/>
        <v>1</v>
      </c>
    </row>
    <row r="91" spans="15:33">
      <c r="O91" s="35">
        <f t="shared" si="23"/>
        <v>100</v>
      </c>
      <c r="P91" s="556">
        <f>[1]!srIx2Val(Q$6,O91,1)</f>
        <v>1.2500000000000001E-2</v>
      </c>
      <c r="Q91" s="559">
        <f>[1]!srIx2Val(Q$6,O91,5)</f>
        <v>0.15589999999999998</v>
      </c>
      <c r="R91" s="554">
        <f t="shared" si="13"/>
        <v>-4.8441000000000001</v>
      </c>
      <c r="S91" s="465">
        <f>IF(R91&lt;=0,0,[1]!srRng2E(Q$6,R91))</f>
        <v>0</v>
      </c>
      <c r="T91" s="482" t="e">
        <f t="shared" si="14"/>
        <v>#N/A</v>
      </c>
      <c r="U91" s="466">
        <f t="shared" si="15"/>
        <v>1.2500000000000001E-2</v>
      </c>
      <c r="V91" s="466" t="e">
        <f t="shared" si="16"/>
        <v>#N/A</v>
      </c>
      <c r="W91" s="466">
        <f t="shared" si="17"/>
        <v>0.5</v>
      </c>
      <c r="Y91" s="35">
        <f t="shared" si="24"/>
        <v>100</v>
      </c>
      <c r="Z91" s="556">
        <f>[1]!srIx2Val(AA$6,Y91,1)</f>
        <v>1.3095238095238096E-2</v>
      </c>
      <c r="AA91" s="559">
        <f>[1]!srIx2Val(AA$6,Y91,5)</f>
        <v>0.66759999999999997</v>
      </c>
      <c r="AB91" s="554">
        <f t="shared" si="18"/>
        <v>-4.3323999999999998</v>
      </c>
      <c r="AC91" s="465">
        <f>IF(AB91&lt;=0,0,[1]!srRng2E(AA$6,AB91))</f>
        <v>0</v>
      </c>
      <c r="AD91" s="466" t="e">
        <f t="shared" si="19"/>
        <v>#N/A</v>
      </c>
      <c r="AE91" s="466">
        <f t="shared" si="20"/>
        <v>1.3095238095238096E-2</v>
      </c>
      <c r="AF91" s="466" t="e">
        <f t="shared" si="21"/>
        <v>#N/A</v>
      </c>
      <c r="AG91" s="466">
        <f t="shared" si="22"/>
        <v>1.1000000000000001</v>
      </c>
    </row>
    <row r="92" spans="15:33">
      <c r="O92" s="35">
        <f t="shared" si="23"/>
        <v>101</v>
      </c>
      <c r="P92" s="556">
        <f>[1]!srIx2Val(Q$6,O92,1)</f>
        <v>1.3750000000000002E-2</v>
      </c>
      <c r="Q92" s="559">
        <f>[1]!srIx2Val(Q$6,O92,5)</f>
        <v>0.1724</v>
      </c>
      <c r="R92" s="554">
        <f t="shared" si="13"/>
        <v>-4.8276000000000003</v>
      </c>
      <c r="S92" s="465">
        <f>IF(R92&lt;=0,0,[1]!srRng2E(Q$6,R92))</f>
        <v>0</v>
      </c>
      <c r="T92" s="482" t="e">
        <f t="shared" si="14"/>
        <v>#N/A</v>
      </c>
      <c r="U92" s="466">
        <f t="shared" si="15"/>
        <v>1.3750000000000002E-2</v>
      </c>
      <c r="V92" s="466" t="e">
        <f t="shared" si="16"/>
        <v>#N/A</v>
      </c>
      <c r="W92" s="466">
        <f t="shared" si="17"/>
        <v>0.55000000000000004</v>
      </c>
      <c r="Y92" s="35">
        <f t="shared" si="24"/>
        <v>101</v>
      </c>
      <c r="Z92" s="556">
        <f>[1]!srIx2Val(AA$6,Y92,1)</f>
        <v>1.4285714285714285E-2</v>
      </c>
      <c r="AA92" s="559">
        <f>[1]!srIx2Val(AA$6,Y92,5)</f>
        <v>0.73120000000000007</v>
      </c>
      <c r="AB92" s="554">
        <f t="shared" si="18"/>
        <v>-4.2687999999999997</v>
      </c>
      <c r="AC92" s="465">
        <f>IF(AB92&lt;=0,0,[1]!srRng2E(AA$6,AB92))</f>
        <v>0</v>
      </c>
      <c r="AD92" s="466" t="e">
        <f t="shared" si="19"/>
        <v>#N/A</v>
      </c>
      <c r="AE92" s="466">
        <f t="shared" si="20"/>
        <v>1.4285714285714285E-2</v>
      </c>
      <c r="AF92" s="466" t="e">
        <f t="shared" si="21"/>
        <v>#N/A</v>
      </c>
      <c r="AG92" s="466">
        <f t="shared" si="22"/>
        <v>1.2</v>
      </c>
    </row>
    <row r="93" spans="15:33">
      <c r="O93" s="35">
        <f t="shared" si="23"/>
        <v>102</v>
      </c>
      <c r="P93" s="556">
        <f>[1]!srIx2Val(Q$6,O93,1)</f>
        <v>1.4999999999999999E-2</v>
      </c>
      <c r="Q93" s="559">
        <f>[1]!srIx2Val(Q$6,O93,5)</f>
        <v>0.189</v>
      </c>
      <c r="R93" s="554">
        <f t="shared" si="13"/>
        <v>-4.8109999999999999</v>
      </c>
      <c r="S93" s="465">
        <f>IF(R93&lt;=0,0,[1]!srRng2E(Q$6,R93))</f>
        <v>0</v>
      </c>
      <c r="T93" s="482" t="e">
        <f t="shared" si="14"/>
        <v>#N/A</v>
      </c>
      <c r="U93" s="466">
        <f t="shared" si="15"/>
        <v>1.4999999999999999E-2</v>
      </c>
      <c r="V93" s="466" t="e">
        <f t="shared" si="16"/>
        <v>#N/A</v>
      </c>
      <c r="W93" s="466">
        <f t="shared" si="17"/>
        <v>0.6</v>
      </c>
      <c r="Y93" s="35">
        <f t="shared" si="24"/>
        <v>102</v>
      </c>
      <c r="Z93" s="556">
        <f>[1]!srIx2Val(AA$6,Y93,1)</f>
        <v>1.5476190476190477E-2</v>
      </c>
      <c r="AA93" s="559">
        <f>[1]!srIx2Val(AA$6,Y93,5)</f>
        <v>0.79449999999999998</v>
      </c>
      <c r="AB93" s="554">
        <f t="shared" si="18"/>
        <v>-4.2054999999999998</v>
      </c>
      <c r="AC93" s="465">
        <f>IF(AB93&lt;=0,0,[1]!srRng2E(AA$6,AB93))</f>
        <v>0</v>
      </c>
      <c r="AD93" s="466" t="e">
        <f t="shared" si="19"/>
        <v>#N/A</v>
      </c>
      <c r="AE93" s="466">
        <f t="shared" si="20"/>
        <v>1.5476190476190477E-2</v>
      </c>
      <c r="AF93" s="466" t="e">
        <f t="shared" si="21"/>
        <v>#N/A</v>
      </c>
      <c r="AG93" s="466">
        <f t="shared" si="22"/>
        <v>1.3</v>
      </c>
    </row>
    <row r="94" spans="15:33">
      <c r="O94" s="35">
        <f t="shared" si="23"/>
        <v>103</v>
      </c>
      <c r="P94" s="556">
        <f>[1]!srIx2Val(Q$6,O94,1)</f>
        <v>1.6250000000000001E-2</v>
      </c>
      <c r="Q94" s="559">
        <f>[1]!srIx2Val(Q$6,O94,5)</f>
        <v>0.20550000000000002</v>
      </c>
      <c r="R94" s="554">
        <f t="shared" si="13"/>
        <v>-4.7945000000000002</v>
      </c>
      <c r="S94" s="465">
        <f>IF(R94&lt;=0,0,[1]!srRng2E(Q$6,R94))</f>
        <v>0</v>
      </c>
      <c r="T94" s="482" t="e">
        <f t="shared" si="14"/>
        <v>#N/A</v>
      </c>
      <c r="U94" s="466">
        <f t="shared" si="15"/>
        <v>1.6250000000000001E-2</v>
      </c>
      <c r="V94" s="466" t="e">
        <f t="shared" si="16"/>
        <v>#N/A</v>
      </c>
      <c r="W94" s="466">
        <f t="shared" si="17"/>
        <v>0.65</v>
      </c>
      <c r="Y94" s="35">
        <f t="shared" si="24"/>
        <v>103</v>
      </c>
      <c r="Z94" s="556">
        <f>[1]!srIx2Val(AA$6,Y94,1)</f>
        <v>1.6666666666666666E-2</v>
      </c>
      <c r="AA94" s="559">
        <f>[1]!srIx2Val(AA$6,Y94,5)</f>
        <v>0.85730000000000006</v>
      </c>
      <c r="AB94" s="554">
        <f t="shared" si="18"/>
        <v>-4.1426999999999996</v>
      </c>
      <c r="AC94" s="465">
        <f>IF(AB94&lt;=0,0,[1]!srRng2E(AA$6,AB94))</f>
        <v>0</v>
      </c>
      <c r="AD94" s="466" t="e">
        <f t="shared" si="19"/>
        <v>#N/A</v>
      </c>
      <c r="AE94" s="466">
        <f t="shared" si="20"/>
        <v>1.6666666666666666E-2</v>
      </c>
      <c r="AF94" s="466" t="e">
        <f t="shared" si="21"/>
        <v>#N/A</v>
      </c>
      <c r="AG94" s="466">
        <f t="shared" si="22"/>
        <v>1.4</v>
      </c>
    </row>
    <row r="95" spans="15:33">
      <c r="O95" s="35">
        <f t="shared" si="23"/>
        <v>104</v>
      </c>
      <c r="P95" s="556">
        <f>[1]!srIx2Val(Q$6,O95,1)</f>
        <v>1.7499999999999998E-2</v>
      </c>
      <c r="Q95" s="559">
        <f>[1]!srIx2Val(Q$6,O95,5)</f>
        <v>0.22189999999999999</v>
      </c>
      <c r="R95" s="554">
        <f t="shared" si="13"/>
        <v>-4.7781000000000002</v>
      </c>
      <c r="S95" s="465">
        <f>IF(R95&lt;=0,0,[1]!srRng2E(Q$6,R95))</f>
        <v>0</v>
      </c>
      <c r="T95" s="482" t="e">
        <f t="shared" si="14"/>
        <v>#N/A</v>
      </c>
      <c r="U95" s="466">
        <f t="shared" si="15"/>
        <v>1.7499999999999998E-2</v>
      </c>
      <c r="V95" s="466" t="e">
        <f t="shared" si="16"/>
        <v>#N/A</v>
      </c>
      <c r="W95" s="466">
        <f t="shared" si="17"/>
        <v>0.7</v>
      </c>
      <c r="Y95" s="35">
        <f t="shared" si="24"/>
        <v>104</v>
      </c>
      <c r="Z95" s="556">
        <f>[1]!srIx2Val(AA$6,Y95,1)</f>
        <v>1.7857142857142856E-2</v>
      </c>
      <c r="AA95" s="559">
        <f>[1]!srIx2Val(AA$6,Y95,5)</f>
        <v>0.91949999999999998</v>
      </c>
      <c r="AB95" s="554">
        <f t="shared" si="18"/>
        <v>-4.0804999999999998</v>
      </c>
      <c r="AC95" s="465">
        <f>IF(AB95&lt;=0,0,[1]!srRng2E(AA$6,AB95))</f>
        <v>0</v>
      </c>
      <c r="AD95" s="466" t="e">
        <f t="shared" si="19"/>
        <v>#N/A</v>
      </c>
      <c r="AE95" s="466">
        <f t="shared" si="20"/>
        <v>1.7857142857142856E-2</v>
      </c>
      <c r="AF95" s="466" t="e">
        <f t="shared" si="21"/>
        <v>#N/A</v>
      </c>
      <c r="AG95" s="466">
        <f t="shared" si="22"/>
        <v>1.5</v>
      </c>
    </row>
    <row r="96" spans="15:33">
      <c r="O96" s="35">
        <f t="shared" si="23"/>
        <v>105</v>
      </c>
      <c r="P96" s="556">
        <f>[1]!srIx2Val(Q$6,O96,1)</f>
        <v>0.02</v>
      </c>
      <c r="Q96" s="559">
        <f>[1]!srIx2Val(Q$6,O96,5)</f>
        <v>0.25440000000000002</v>
      </c>
      <c r="R96" s="554">
        <f t="shared" si="13"/>
        <v>-4.7455999999999996</v>
      </c>
      <c r="S96" s="465">
        <f>IF(R96&lt;=0,0,[1]!srRng2E(Q$6,R96))</f>
        <v>0</v>
      </c>
      <c r="T96" s="482" t="e">
        <f t="shared" si="14"/>
        <v>#N/A</v>
      </c>
      <c r="U96" s="466">
        <f t="shared" si="15"/>
        <v>0.02</v>
      </c>
      <c r="V96" s="466" t="e">
        <f t="shared" si="16"/>
        <v>#N/A</v>
      </c>
      <c r="W96" s="466">
        <f t="shared" si="17"/>
        <v>0.8</v>
      </c>
      <c r="Y96" s="35">
        <f t="shared" si="24"/>
        <v>105</v>
      </c>
      <c r="Z96" s="556">
        <f>[1]!srIx2Val(AA$6,Y96,1)</f>
        <v>1.9047619047619049E-2</v>
      </c>
      <c r="AA96" s="559">
        <f>[1]!srIx2Val(AA$6,Y96,5)</f>
        <v>0.98100000000000009</v>
      </c>
      <c r="AB96" s="554">
        <f t="shared" si="18"/>
        <v>-4.0190000000000001</v>
      </c>
      <c r="AC96" s="465">
        <f>IF(AB96&lt;=0,0,[1]!srRng2E(AA$6,AB96))</f>
        <v>0</v>
      </c>
      <c r="AD96" s="466" t="e">
        <f t="shared" si="19"/>
        <v>#N/A</v>
      </c>
      <c r="AE96" s="466">
        <f t="shared" si="20"/>
        <v>1.9047619047619049E-2</v>
      </c>
      <c r="AF96" s="466" t="e">
        <f t="shared" si="21"/>
        <v>#N/A</v>
      </c>
      <c r="AG96" s="466">
        <f t="shared" si="22"/>
        <v>1.6</v>
      </c>
    </row>
    <row r="97" spans="15:33">
      <c r="O97" s="35">
        <f t="shared" si="23"/>
        <v>106</v>
      </c>
      <c r="P97" s="556">
        <f>[1]!srIx2Val(Q$6,O97,1)</f>
        <v>2.2499999999999999E-2</v>
      </c>
      <c r="Q97" s="559">
        <f>[1]!srIx2Val(Q$6,O97,5)</f>
        <v>0.28639999999999999</v>
      </c>
      <c r="R97" s="554">
        <f t="shared" si="13"/>
        <v>-4.7135999999999996</v>
      </c>
      <c r="S97" s="465">
        <f>IF(R97&lt;=0,0,[1]!srRng2E(Q$6,R97))</f>
        <v>0</v>
      </c>
      <c r="T97" s="482" t="e">
        <f t="shared" si="14"/>
        <v>#N/A</v>
      </c>
      <c r="U97" s="466">
        <f t="shared" si="15"/>
        <v>2.2499999999999999E-2</v>
      </c>
      <c r="V97" s="466" t="e">
        <f t="shared" si="16"/>
        <v>#N/A</v>
      </c>
      <c r="W97" s="466">
        <f t="shared" si="17"/>
        <v>0.89999999999999991</v>
      </c>
      <c r="Y97" s="35">
        <f t="shared" si="24"/>
        <v>106</v>
      </c>
      <c r="Z97" s="556">
        <f>[1]!srIx2Val(AA$6,Y97,1)</f>
        <v>2.0238095238095239E-2</v>
      </c>
      <c r="AA97" s="559">
        <f>[1]!srIx2Val(AA$6,Y97,5)</f>
        <v>1.04</v>
      </c>
      <c r="AB97" s="554">
        <f t="shared" si="18"/>
        <v>-3.96</v>
      </c>
      <c r="AC97" s="465">
        <f>IF(AB97&lt;=0,0,[1]!srRng2E(AA$6,AB97))</f>
        <v>0</v>
      </c>
      <c r="AD97" s="466" t="e">
        <f t="shared" si="19"/>
        <v>#N/A</v>
      </c>
      <c r="AE97" s="466">
        <f t="shared" si="20"/>
        <v>2.0238095238095239E-2</v>
      </c>
      <c r="AF97" s="466" t="e">
        <f t="shared" si="21"/>
        <v>#N/A</v>
      </c>
      <c r="AG97" s="466">
        <f t="shared" si="22"/>
        <v>1.7000000000000002</v>
      </c>
    </row>
    <row r="98" spans="15:33">
      <c r="O98" s="35">
        <f t="shared" si="23"/>
        <v>107</v>
      </c>
      <c r="P98" s="556">
        <f>[1]!srIx2Val(Q$6,O98,1)</f>
        <v>2.5000000000000001E-2</v>
      </c>
      <c r="Q98" s="559">
        <f>[1]!srIx2Val(Q$6,O98,5)</f>
        <v>0.31789999999999996</v>
      </c>
      <c r="R98" s="554">
        <f t="shared" si="13"/>
        <v>-4.6821000000000002</v>
      </c>
      <c r="S98" s="465">
        <f>IF(R98&lt;=0,0,[1]!srRng2E(Q$6,R98))</f>
        <v>0</v>
      </c>
      <c r="T98" s="482" t="e">
        <f t="shared" si="14"/>
        <v>#N/A</v>
      </c>
      <c r="U98" s="466">
        <f t="shared" si="15"/>
        <v>2.5000000000000001E-2</v>
      </c>
      <c r="V98" s="466" t="e">
        <f t="shared" si="16"/>
        <v>#N/A</v>
      </c>
      <c r="W98" s="466">
        <f t="shared" si="17"/>
        <v>1</v>
      </c>
      <c r="Y98" s="35">
        <f t="shared" si="24"/>
        <v>107</v>
      </c>
      <c r="Z98" s="556">
        <f>[1]!srIx2Val(AA$6,Y98,1)</f>
        <v>2.1428571428571429E-2</v>
      </c>
      <c r="AA98" s="559">
        <f>[1]!srIx2Val(AA$6,Y98,5)</f>
        <v>1.1000000000000001</v>
      </c>
      <c r="AB98" s="554">
        <f t="shared" si="18"/>
        <v>-3.9</v>
      </c>
      <c r="AC98" s="465">
        <f>IF(AB98&lt;=0,0,[1]!srRng2E(AA$6,AB98))</f>
        <v>0</v>
      </c>
      <c r="AD98" s="466" t="e">
        <f t="shared" si="19"/>
        <v>#N/A</v>
      </c>
      <c r="AE98" s="466">
        <f t="shared" si="20"/>
        <v>2.1428571428571429E-2</v>
      </c>
      <c r="AF98" s="466" t="e">
        <f t="shared" si="21"/>
        <v>#N/A</v>
      </c>
      <c r="AG98" s="466">
        <f t="shared" si="22"/>
        <v>1.8</v>
      </c>
    </row>
    <row r="99" spans="15:33">
      <c r="O99" s="35">
        <f t="shared" si="23"/>
        <v>108</v>
      </c>
      <c r="P99" s="556">
        <f>[1]!srIx2Val(Q$6,O99,1)</f>
        <v>2.7500000000000004E-2</v>
      </c>
      <c r="Q99" s="559">
        <f>[1]!srIx2Val(Q$6,O99,5)</f>
        <v>0.3488</v>
      </c>
      <c r="R99" s="554">
        <f t="shared" si="13"/>
        <v>-4.6512000000000002</v>
      </c>
      <c r="S99" s="465">
        <f>IF(R99&lt;=0,0,[1]!srRng2E(Q$6,R99))</f>
        <v>0</v>
      </c>
      <c r="T99" s="482" t="e">
        <f t="shared" si="14"/>
        <v>#N/A</v>
      </c>
      <c r="U99" s="466">
        <f t="shared" si="15"/>
        <v>2.7500000000000004E-2</v>
      </c>
      <c r="V99" s="466" t="e">
        <f t="shared" si="16"/>
        <v>#N/A</v>
      </c>
      <c r="W99" s="466">
        <f t="shared" si="17"/>
        <v>1.1000000000000001</v>
      </c>
      <c r="Y99" s="35">
        <f t="shared" si="24"/>
        <v>108</v>
      </c>
      <c r="Z99" s="556">
        <f>[1]!srIx2Val(AA$6,Y99,1)</f>
        <v>2.3809523809523808E-2</v>
      </c>
      <c r="AA99" s="559">
        <f>[1]!srIx2Val(AA$6,Y99,5)</f>
        <v>1.22</v>
      </c>
      <c r="AB99" s="554">
        <f t="shared" si="18"/>
        <v>-3.7800000000000002</v>
      </c>
      <c r="AC99" s="465">
        <f>IF(AB99&lt;=0,0,[1]!srRng2E(AA$6,AB99))</f>
        <v>0</v>
      </c>
      <c r="AD99" s="466" t="e">
        <f t="shared" si="19"/>
        <v>#N/A</v>
      </c>
      <c r="AE99" s="466">
        <f t="shared" si="20"/>
        <v>2.3809523809523808E-2</v>
      </c>
      <c r="AF99" s="466" t="e">
        <f t="shared" si="21"/>
        <v>#N/A</v>
      </c>
      <c r="AG99" s="466">
        <f t="shared" si="22"/>
        <v>2</v>
      </c>
    </row>
    <row r="100" spans="15:33">
      <c r="O100" s="35">
        <f t="shared" si="23"/>
        <v>109</v>
      </c>
      <c r="P100" s="556">
        <f>[1]!srIx2Val(Q$6,O100,1)</f>
        <v>0.03</v>
      </c>
      <c r="Q100" s="559">
        <f>[1]!srIx2Val(Q$6,O100,5)</f>
        <v>0.37930000000000003</v>
      </c>
      <c r="R100" s="554">
        <f t="shared" si="13"/>
        <v>-4.6207000000000003</v>
      </c>
      <c r="S100" s="465">
        <f>IF(R100&lt;=0,0,[1]!srRng2E(Q$6,R100))</f>
        <v>0</v>
      </c>
      <c r="T100" s="482" t="e">
        <f t="shared" si="14"/>
        <v>#N/A</v>
      </c>
      <c r="U100" s="466">
        <f t="shared" si="15"/>
        <v>0.03</v>
      </c>
      <c r="V100" s="466" t="e">
        <f t="shared" si="16"/>
        <v>#N/A</v>
      </c>
      <c r="W100" s="466">
        <f t="shared" si="17"/>
        <v>1.2</v>
      </c>
      <c r="Y100" s="35">
        <f t="shared" si="24"/>
        <v>109</v>
      </c>
      <c r="Z100" s="556">
        <f>[1]!srIx2Val(AA$6,Y100,1)</f>
        <v>2.6785714285714284E-2</v>
      </c>
      <c r="AA100" s="559">
        <f>[1]!srIx2Val(AA$6,Y100,5)</f>
        <v>1.36</v>
      </c>
      <c r="AB100" s="554">
        <f t="shared" si="18"/>
        <v>-3.6399999999999997</v>
      </c>
      <c r="AC100" s="465">
        <f>IF(AB100&lt;=0,0,[1]!srRng2E(AA$6,AB100))</f>
        <v>0</v>
      </c>
      <c r="AD100" s="466" t="e">
        <f t="shared" si="19"/>
        <v>#N/A</v>
      </c>
      <c r="AE100" s="466">
        <f t="shared" si="20"/>
        <v>2.6785714285714284E-2</v>
      </c>
      <c r="AF100" s="466" t="e">
        <f t="shared" si="21"/>
        <v>#N/A</v>
      </c>
      <c r="AG100" s="466">
        <f t="shared" si="22"/>
        <v>2.25</v>
      </c>
    </row>
    <row r="101" spans="15:33">
      <c r="O101" s="35">
        <f t="shared" si="23"/>
        <v>110</v>
      </c>
      <c r="P101" s="556">
        <f>[1]!srIx2Val(Q$6,O101,1)</f>
        <v>3.2500000000000001E-2</v>
      </c>
      <c r="Q101" s="559">
        <f>[1]!srIx2Val(Q$6,O101,5)</f>
        <v>0.40919999999999995</v>
      </c>
      <c r="R101" s="554">
        <f t="shared" si="13"/>
        <v>-4.5907999999999998</v>
      </c>
      <c r="S101" s="465">
        <f>IF(R101&lt;=0,0,[1]!srRng2E(Q$6,R101))</f>
        <v>0</v>
      </c>
      <c r="T101" s="482" t="e">
        <f t="shared" si="14"/>
        <v>#N/A</v>
      </c>
      <c r="U101" s="466">
        <f t="shared" si="15"/>
        <v>3.2500000000000001E-2</v>
      </c>
      <c r="V101" s="466" t="e">
        <f t="shared" si="16"/>
        <v>#N/A</v>
      </c>
      <c r="W101" s="466">
        <f t="shared" si="17"/>
        <v>1.3</v>
      </c>
      <c r="Y101" s="35">
        <f t="shared" si="24"/>
        <v>110</v>
      </c>
      <c r="Z101" s="556">
        <f>[1]!srIx2Val(AA$6,Y101,1)</f>
        <v>2.976190476190476E-2</v>
      </c>
      <c r="AA101" s="559">
        <f>[1]!srIx2Val(AA$6,Y101,5)</f>
        <v>1.49</v>
      </c>
      <c r="AB101" s="554">
        <f t="shared" si="18"/>
        <v>-3.51</v>
      </c>
      <c r="AC101" s="465">
        <f>IF(AB101&lt;=0,0,[1]!srRng2E(AA$6,AB101))</f>
        <v>0</v>
      </c>
      <c r="AD101" s="466" t="e">
        <f t="shared" si="19"/>
        <v>#N/A</v>
      </c>
      <c r="AE101" s="466">
        <f t="shared" si="20"/>
        <v>2.976190476190476E-2</v>
      </c>
      <c r="AF101" s="466" t="e">
        <f t="shared" si="21"/>
        <v>#N/A</v>
      </c>
      <c r="AG101" s="466">
        <f t="shared" si="22"/>
        <v>2.5</v>
      </c>
    </row>
    <row r="102" spans="15:33">
      <c r="O102" s="35">
        <f t="shared" si="23"/>
        <v>111</v>
      </c>
      <c r="P102" s="556">
        <f>[1]!srIx2Val(Q$6,O102,1)</f>
        <v>3.4999999999999996E-2</v>
      </c>
      <c r="Q102" s="559">
        <f>[1]!srIx2Val(Q$6,O102,5)</f>
        <v>0.43859999999999999</v>
      </c>
      <c r="R102" s="554">
        <f t="shared" si="13"/>
        <v>-4.5613999999999999</v>
      </c>
      <c r="S102" s="465">
        <f>IF(R102&lt;=0,0,[1]!srRng2E(Q$6,R102))</f>
        <v>0</v>
      </c>
      <c r="T102" s="482" t="e">
        <f t="shared" si="14"/>
        <v>#N/A</v>
      </c>
      <c r="U102" s="466">
        <f t="shared" si="15"/>
        <v>3.4999999999999996E-2</v>
      </c>
      <c r="V102" s="466" t="e">
        <f t="shared" si="16"/>
        <v>#N/A</v>
      </c>
      <c r="W102" s="466">
        <f t="shared" si="17"/>
        <v>1.4</v>
      </c>
      <c r="Y102" s="35">
        <f t="shared" si="24"/>
        <v>111</v>
      </c>
      <c r="Z102" s="556">
        <f>[1]!srIx2Val(AA$6,Y102,1)</f>
        <v>3.273809523809524E-2</v>
      </c>
      <c r="AA102" s="559">
        <f>[1]!srIx2Val(AA$6,Y102,5)</f>
        <v>1.62</v>
      </c>
      <c r="AB102" s="554">
        <f t="shared" si="18"/>
        <v>-3.38</v>
      </c>
      <c r="AC102" s="465">
        <f>IF(AB102&lt;=0,0,[1]!srRng2E(AA$6,AB102))</f>
        <v>0</v>
      </c>
      <c r="AD102" s="466" t="e">
        <f t="shared" si="19"/>
        <v>#N/A</v>
      </c>
      <c r="AE102" s="466">
        <f t="shared" si="20"/>
        <v>3.273809523809524E-2</v>
      </c>
      <c r="AF102" s="466" t="e">
        <f t="shared" si="21"/>
        <v>#N/A</v>
      </c>
      <c r="AG102" s="466">
        <f t="shared" si="22"/>
        <v>2.75</v>
      </c>
    </row>
    <row r="103" spans="15:33">
      <c r="O103" s="35">
        <f t="shared" si="23"/>
        <v>112</v>
      </c>
      <c r="P103" s="556">
        <f>[1]!srIx2Val(Q$6,O103,1)</f>
        <v>3.7499999999999999E-2</v>
      </c>
      <c r="Q103" s="559">
        <f>[1]!srIx2Val(Q$6,O103,5)</f>
        <v>0.46749999999999997</v>
      </c>
      <c r="R103" s="554">
        <f t="shared" si="13"/>
        <v>-4.5324999999999998</v>
      </c>
      <c r="S103" s="465">
        <f>IF(R103&lt;=0,0,[1]!srRng2E(Q$6,R103))</f>
        <v>0</v>
      </c>
      <c r="T103" s="482" t="e">
        <f t="shared" si="14"/>
        <v>#N/A</v>
      </c>
      <c r="U103" s="466">
        <f t="shared" si="15"/>
        <v>3.7499999999999999E-2</v>
      </c>
      <c r="V103" s="466" t="e">
        <f t="shared" si="16"/>
        <v>#N/A</v>
      </c>
      <c r="W103" s="466">
        <f t="shared" si="17"/>
        <v>1.5</v>
      </c>
      <c r="Y103" s="35">
        <f t="shared" si="24"/>
        <v>112</v>
      </c>
      <c r="Z103" s="556">
        <f>[1]!srIx2Val(AA$6,Y103,1)</f>
        <v>3.5714285714285712E-2</v>
      </c>
      <c r="AA103" s="559">
        <f>[1]!srIx2Val(AA$6,Y103,5)</f>
        <v>1.75</v>
      </c>
      <c r="AB103" s="554">
        <f t="shared" si="18"/>
        <v>-3.25</v>
      </c>
      <c r="AC103" s="465">
        <f>IF(AB103&lt;=0,0,[1]!srRng2E(AA$6,AB103))</f>
        <v>0</v>
      </c>
      <c r="AD103" s="466" t="e">
        <f t="shared" si="19"/>
        <v>#N/A</v>
      </c>
      <c r="AE103" s="466">
        <f t="shared" si="20"/>
        <v>3.5714285714285712E-2</v>
      </c>
      <c r="AF103" s="466" t="e">
        <f t="shared" si="21"/>
        <v>#N/A</v>
      </c>
      <c r="AG103" s="466">
        <f t="shared" si="22"/>
        <v>3</v>
      </c>
    </row>
    <row r="104" spans="15:33">
      <c r="O104" s="35">
        <f t="shared" si="23"/>
        <v>113</v>
      </c>
      <c r="P104" s="556">
        <f>[1]!srIx2Val(Q$6,O104,1)</f>
        <v>0.04</v>
      </c>
      <c r="Q104" s="559">
        <f>[1]!srIx2Val(Q$6,O104,5)</f>
        <v>0.49589999999999995</v>
      </c>
      <c r="R104" s="554">
        <f t="shared" si="13"/>
        <v>-4.5041000000000002</v>
      </c>
      <c r="S104" s="465">
        <f>IF(R104&lt;=0,0,[1]!srRng2E(Q$6,R104))</f>
        <v>0</v>
      </c>
      <c r="T104" s="482" t="e">
        <f t="shared" si="14"/>
        <v>#N/A</v>
      </c>
      <c r="U104" s="466">
        <f t="shared" si="15"/>
        <v>0.04</v>
      </c>
      <c r="V104" s="466" t="e">
        <f t="shared" si="16"/>
        <v>#N/A</v>
      </c>
      <c r="W104" s="466">
        <f t="shared" si="17"/>
        <v>1.6</v>
      </c>
      <c r="Y104" s="35">
        <f t="shared" si="24"/>
        <v>113</v>
      </c>
      <c r="Z104" s="556">
        <f>[1]!srIx2Val(AA$6,Y104,1)</f>
        <v>3.8690476190476192E-2</v>
      </c>
      <c r="AA104" s="559">
        <f>[1]!srIx2Val(AA$6,Y104,5)</f>
        <v>1.87</v>
      </c>
      <c r="AB104" s="554">
        <f t="shared" si="18"/>
        <v>-3.13</v>
      </c>
      <c r="AC104" s="465">
        <f>IF(AB104&lt;=0,0,[1]!srRng2E(AA$6,AB104))</f>
        <v>0</v>
      </c>
      <c r="AD104" s="466" t="e">
        <f t="shared" si="19"/>
        <v>#N/A</v>
      </c>
      <c r="AE104" s="466">
        <f t="shared" si="20"/>
        <v>3.8690476190476192E-2</v>
      </c>
      <c r="AF104" s="466" t="e">
        <f t="shared" si="21"/>
        <v>#N/A</v>
      </c>
      <c r="AG104" s="466">
        <f t="shared" si="22"/>
        <v>3.25</v>
      </c>
    </row>
    <row r="105" spans="15:33">
      <c r="O105" s="35">
        <f t="shared" si="23"/>
        <v>114</v>
      </c>
      <c r="P105" s="556">
        <f>[1]!srIx2Val(Q$6,O105,1)</f>
        <v>4.2499999999999996E-2</v>
      </c>
      <c r="Q105" s="559">
        <f>[1]!srIx2Val(Q$6,O105,5)</f>
        <v>0.52390000000000003</v>
      </c>
      <c r="R105" s="554">
        <f t="shared" si="13"/>
        <v>-4.4760999999999997</v>
      </c>
      <c r="S105" s="465">
        <f>IF(R105&lt;=0,0,[1]!srRng2E(Q$6,R105))</f>
        <v>0</v>
      </c>
      <c r="T105" s="482" t="e">
        <f t="shared" si="14"/>
        <v>#N/A</v>
      </c>
      <c r="U105" s="466">
        <f t="shared" si="15"/>
        <v>4.2499999999999996E-2</v>
      </c>
      <c r="V105" s="466" t="e">
        <f t="shared" si="16"/>
        <v>#N/A</v>
      </c>
      <c r="W105" s="466">
        <f t="shared" si="17"/>
        <v>1.6999999999999997</v>
      </c>
      <c r="Y105" s="35">
        <f t="shared" si="24"/>
        <v>114</v>
      </c>
      <c r="Z105" s="556">
        <f>[1]!srIx2Val(AA$6,Y105,1)</f>
        <v>4.1666666666666664E-2</v>
      </c>
      <c r="AA105" s="559">
        <f>[1]!srIx2Val(AA$6,Y105,5)</f>
        <v>1.98</v>
      </c>
      <c r="AB105" s="554">
        <f t="shared" si="18"/>
        <v>-3.02</v>
      </c>
      <c r="AC105" s="465">
        <f>IF(AB105&lt;=0,0,[1]!srRng2E(AA$6,AB105))</f>
        <v>0</v>
      </c>
      <c r="AD105" s="466" t="e">
        <f t="shared" si="19"/>
        <v>#N/A</v>
      </c>
      <c r="AE105" s="466">
        <f t="shared" si="20"/>
        <v>4.1666666666666664E-2</v>
      </c>
      <c r="AF105" s="466" t="e">
        <f t="shared" si="21"/>
        <v>#N/A</v>
      </c>
      <c r="AG105" s="466">
        <f t="shared" si="22"/>
        <v>3.5</v>
      </c>
    </row>
    <row r="106" spans="15:33">
      <c r="O106" s="35">
        <f t="shared" si="23"/>
        <v>115</v>
      </c>
      <c r="P106" s="556">
        <f>[1]!srIx2Val(Q$6,O106,1)</f>
        <v>4.4999999999999998E-2</v>
      </c>
      <c r="Q106" s="559">
        <f>[1]!srIx2Val(Q$6,O106,5)</f>
        <v>0.55149999999999999</v>
      </c>
      <c r="R106" s="554">
        <f t="shared" si="13"/>
        <v>-4.4485000000000001</v>
      </c>
      <c r="S106" s="465">
        <f>IF(R106&lt;=0,0,[1]!srRng2E(Q$6,R106))</f>
        <v>0</v>
      </c>
      <c r="T106" s="482" t="e">
        <f t="shared" si="14"/>
        <v>#N/A</v>
      </c>
      <c r="U106" s="466">
        <f t="shared" si="15"/>
        <v>4.4999999999999998E-2</v>
      </c>
      <c r="V106" s="466" t="e">
        <f t="shared" si="16"/>
        <v>#N/A</v>
      </c>
      <c r="W106" s="466">
        <f t="shared" si="17"/>
        <v>1.7999999999999998</v>
      </c>
      <c r="Y106" s="35">
        <f t="shared" si="24"/>
        <v>115</v>
      </c>
      <c r="Z106" s="556">
        <f>[1]!srIx2Val(AA$6,Y106,1)</f>
        <v>4.4642857142857144E-2</v>
      </c>
      <c r="AA106" s="559">
        <f>[1]!srIx2Val(AA$6,Y106,5)</f>
        <v>2.09</v>
      </c>
      <c r="AB106" s="554">
        <f t="shared" si="18"/>
        <v>-2.91</v>
      </c>
      <c r="AC106" s="465">
        <f>IF(AB106&lt;=0,0,[1]!srRng2E(AA$6,AB106))</f>
        <v>0</v>
      </c>
      <c r="AD106" s="466" t="e">
        <f t="shared" si="19"/>
        <v>#N/A</v>
      </c>
      <c r="AE106" s="466">
        <f t="shared" si="20"/>
        <v>4.4642857142857144E-2</v>
      </c>
      <c r="AF106" s="466" t="e">
        <f t="shared" si="21"/>
        <v>#N/A</v>
      </c>
      <c r="AG106" s="466">
        <f t="shared" si="22"/>
        <v>3.75</v>
      </c>
    </row>
    <row r="107" spans="15:33">
      <c r="O107" s="35">
        <f t="shared" si="23"/>
        <v>116</v>
      </c>
      <c r="P107" s="556">
        <f>[1]!srIx2Val(Q$6,O107,1)</f>
        <v>0.05</v>
      </c>
      <c r="Q107" s="559">
        <f>[1]!srIx2Val(Q$6,O107,5)</f>
        <v>0.60540000000000005</v>
      </c>
      <c r="R107" s="554">
        <f t="shared" si="13"/>
        <v>-4.3945999999999996</v>
      </c>
      <c r="S107" s="465">
        <f>IF(R107&lt;=0,0,[1]!srRng2E(Q$6,R107))</f>
        <v>0</v>
      </c>
      <c r="T107" s="482" t="e">
        <f t="shared" si="14"/>
        <v>#N/A</v>
      </c>
      <c r="U107" s="466">
        <f t="shared" si="15"/>
        <v>0.05</v>
      </c>
      <c r="V107" s="466" t="e">
        <f t="shared" si="16"/>
        <v>#N/A</v>
      </c>
      <c r="W107" s="466">
        <f t="shared" si="17"/>
        <v>2</v>
      </c>
      <c r="Y107" s="35">
        <f t="shared" si="24"/>
        <v>116</v>
      </c>
      <c r="Z107" s="556">
        <f>[1]!srIx2Val(AA$6,Y107,1)</f>
        <v>4.7619047619047616E-2</v>
      </c>
      <c r="AA107" s="559">
        <f>[1]!srIx2Val(AA$6,Y107,5)</f>
        <v>2.2000000000000002</v>
      </c>
      <c r="AB107" s="554">
        <f t="shared" si="18"/>
        <v>-2.8</v>
      </c>
      <c r="AC107" s="465">
        <f>IF(AB107&lt;=0,0,[1]!srRng2E(AA$6,AB107))</f>
        <v>0</v>
      </c>
      <c r="AD107" s="466" t="e">
        <f t="shared" si="19"/>
        <v>#N/A</v>
      </c>
      <c r="AE107" s="466">
        <f t="shared" si="20"/>
        <v>4.7619047619047616E-2</v>
      </c>
      <c r="AF107" s="466" t="e">
        <f t="shared" si="21"/>
        <v>#N/A</v>
      </c>
      <c r="AG107" s="466">
        <f t="shared" si="22"/>
        <v>4</v>
      </c>
    </row>
    <row r="108" spans="15:33">
      <c r="O108" s="35">
        <f t="shared" si="23"/>
        <v>117</v>
      </c>
      <c r="P108" s="556">
        <f>[1]!srIx2Val(Q$6,O108,1)</f>
        <v>5.6250000000000001E-2</v>
      </c>
      <c r="Q108" s="559">
        <f>[1]!srIx2Val(Q$6,O108,5)</f>
        <v>0.67060000000000008</v>
      </c>
      <c r="R108" s="554">
        <f t="shared" si="13"/>
        <v>-4.3293999999999997</v>
      </c>
      <c r="S108" s="465">
        <f>IF(R108&lt;=0,0,[1]!srRng2E(Q$6,R108))</f>
        <v>0</v>
      </c>
      <c r="T108" s="482" t="e">
        <f t="shared" si="14"/>
        <v>#N/A</v>
      </c>
      <c r="U108" s="466">
        <f t="shared" si="15"/>
        <v>5.6250000000000001E-2</v>
      </c>
      <c r="V108" s="466" t="e">
        <f t="shared" si="16"/>
        <v>#N/A</v>
      </c>
      <c r="W108" s="466">
        <f t="shared" si="17"/>
        <v>2.25</v>
      </c>
      <c r="Y108" s="35">
        <f t="shared" si="24"/>
        <v>117</v>
      </c>
      <c r="Z108" s="556">
        <f>[1]!srIx2Val(AA$6,Y108,1)</f>
        <v>5.3571428571428568E-2</v>
      </c>
      <c r="AA108" s="559">
        <f>[1]!srIx2Val(AA$6,Y108,5)</f>
        <v>2.41</v>
      </c>
      <c r="AB108" s="554">
        <f t="shared" si="18"/>
        <v>-2.59</v>
      </c>
      <c r="AC108" s="465">
        <f>IF(AB108&lt;=0,0,[1]!srRng2E(AA$6,AB108))</f>
        <v>0</v>
      </c>
      <c r="AD108" s="466" t="e">
        <f t="shared" si="19"/>
        <v>#N/A</v>
      </c>
      <c r="AE108" s="466">
        <f t="shared" si="20"/>
        <v>5.3571428571428568E-2</v>
      </c>
      <c r="AF108" s="466" t="e">
        <f t="shared" si="21"/>
        <v>#N/A</v>
      </c>
      <c r="AG108" s="466">
        <f t="shared" si="22"/>
        <v>4.5</v>
      </c>
    </row>
    <row r="109" spans="15:33">
      <c r="O109" s="35">
        <f t="shared" si="23"/>
        <v>118</v>
      </c>
      <c r="P109" s="556">
        <f>[1]!srIx2Val(Q$6,O109,1)</f>
        <v>6.25E-2</v>
      </c>
      <c r="Q109" s="559">
        <f>[1]!srIx2Val(Q$6,O109,5)</f>
        <v>0.73350000000000004</v>
      </c>
      <c r="R109" s="554">
        <f t="shared" si="13"/>
        <v>-4.2664999999999997</v>
      </c>
      <c r="S109" s="465">
        <f>IF(R109&lt;=0,0,[1]!srRng2E(Q$6,R109))</f>
        <v>0</v>
      </c>
      <c r="T109" s="482" t="e">
        <f t="shared" si="14"/>
        <v>#N/A</v>
      </c>
      <c r="U109" s="466">
        <f t="shared" si="15"/>
        <v>6.25E-2</v>
      </c>
      <c r="V109" s="466" t="e">
        <f t="shared" si="16"/>
        <v>#N/A</v>
      </c>
      <c r="W109" s="466">
        <f t="shared" si="17"/>
        <v>2.5</v>
      </c>
      <c r="Y109" s="35">
        <f t="shared" si="24"/>
        <v>118</v>
      </c>
      <c r="Z109" s="556">
        <f>[1]!srIx2Val(AA$6,Y109,1)</f>
        <v>5.9523809523809521E-2</v>
      </c>
      <c r="AA109" s="559">
        <f>[1]!srIx2Val(AA$6,Y109,5)</f>
        <v>2.6</v>
      </c>
      <c r="AB109" s="554">
        <f t="shared" si="18"/>
        <v>-2.4</v>
      </c>
      <c r="AC109" s="465">
        <f>IF(AB109&lt;=0,0,[1]!srRng2E(AA$6,AB109))</f>
        <v>0</v>
      </c>
      <c r="AD109" s="466" t="e">
        <f t="shared" si="19"/>
        <v>#N/A</v>
      </c>
      <c r="AE109" s="466">
        <f t="shared" si="20"/>
        <v>5.9523809523809521E-2</v>
      </c>
      <c r="AF109" s="466" t="e">
        <f t="shared" si="21"/>
        <v>#N/A</v>
      </c>
      <c r="AG109" s="466">
        <f t="shared" si="22"/>
        <v>5</v>
      </c>
    </row>
    <row r="110" spans="15:33">
      <c r="O110" s="35">
        <f t="shared" si="23"/>
        <v>119</v>
      </c>
      <c r="P110" s="556">
        <f>[1]!srIx2Val(Q$6,O110,1)</f>
        <v>6.8750000000000006E-2</v>
      </c>
      <c r="Q110" s="559">
        <f>[1]!srIx2Val(Q$6,O110,5)</f>
        <v>0.79420000000000002</v>
      </c>
      <c r="R110" s="554">
        <f t="shared" si="13"/>
        <v>-4.2058</v>
      </c>
      <c r="S110" s="465">
        <f>IF(R110&lt;=0,0,[1]!srRng2E(Q$6,R110))</f>
        <v>0</v>
      </c>
      <c r="T110" s="482" t="e">
        <f t="shared" si="14"/>
        <v>#N/A</v>
      </c>
      <c r="U110" s="466">
        <f t="shared" si="15"/>
        <v>6.8750000000000006E-2</v>
      </c>
      <c r="V110" s="466" t="e">
        <f t="shared" si="16"/>
        <v>#N/A</v>
      </c>
      <c r="W110" s="466">
        <f t="shared" si="17"/>
        <v>2.75</v>
      </c>
      <c r="Y110" s="35">
        <f t="shared" si="24"/>
        <v>119</v>
      </c>
      <c r="Z110" s="556">
        <f>[1]!srIx2Val(AA$6,Y110,1)</f>
        <v>6.5476190476190479E-2</v>
      </c>
      <c r="AA110" s="559">
        <f>[1]!srIx2Val(AA$6,Y110,5)</f>
        <v>2.79</v>
      </c>
      <c r="AB110" s="554">
        <f t="shared" si="18"/>
        <v>-2.21</v>
      </c>
      <c r="AC110" s="465">
        <f>IF(AB110&lt;=0,0,[1]!srRng2E(AA$6,AB110))</f>
        <v>0</v>
      </c>
      <c r="AD110" s="466" t="e">
        <f t="shared" si="19"/>
        <v>#N/A</v>
      </c>
      <c r="AE110" s="466">
        <f t="shared" si="20"/>
        <v>6.5476190476190479E-2</v>
      </c>
      <c r="AF110" s="466" t="e">
        <f t="shared" si="21"/>
        <v>#N/A</v>
      </c>
      <c r="AG110" s="466">
        <f t="shared" si="22"/>
        <v>5.5</v>
      </c>
    </row>
    <row r="111" spans="15:33">
      <c r="O111" s="35">
        <f t="shared" si="23"/>
        <v>120</v>
      </c>
      <c r="P111" s="556">
        <f>[1]!srIx2Val(Q$6,O111,1)</f>
        <v>7.4999999999999997E-2</v>
      </c>
      <c r="Q111" s="559">
        <f>[1]!srIx2Val(Q$6,O111,5)</f>
        <v>0.85299999999999998</v>
      </c>
      <c r="R111" s="554">
        <f t="shared" si="13"/>
        <v>-4.1470000000000002</v>
      </c>
      <c r="S111" s="465">
        <f>IF(R111&lt;=0,0,[1]!srRng2E(Q$6,R111))</f>
        <v>0</v>
      </c>
      <c r="T111" s="482" t="e">
        <f t="shared" si="14"/>
        <v>#N/A</v>
      </c>
      <c r="U111" s="466">
        <f t="shared" si="15"/>
        <v>7.4999999999999997E-2</v>
      </c>
      <c r="V111" s="466" t="e">
        <f t="shared" si="16"/>
        <v>#N/A</v>
      </c>
      <c r="W111" s="466">
        <f t="shared" si="17"/>
        <v>3</v>
      </c>
      <c r="Y111" s="35">
        <f t="shared" si="24"/>
        <v>120</v>
      </c>
      <c r="Z111" s="556">
        <f>[1]!srIx2Val(AA$6,Y111,1)</f>
        <v>7.1428571428571425E-2</v>
      </c>
      <c r="AA111" s="559">
        <f>[1]!srIx2Val(AA$6,Y111,5)</f>
        <v>2.97</v>
      </c>
      <c r="AB111" s="554">
        <f t="shared" si="18"/>
        <v>-2.0299999999999998</v>
      </c>
      <c r="AC111" s="465">
        <f>IF(AB111&lt;=0,0,[1]!srRng2E(AA$6,AB111))</f>
        <v>0</v>
      </c>
      <c r="AD111" s="466" t="e">
        <f t="shared" si="19"/>
        <v>#N/A</v>
      </c>
      <c r="AE111" s="466">
        <f t="shared" si="20"/>
        <v>7.1428571428571425E-2</v>
      </c>
      <c r="AF111" s="466" t="e">
        <f t="shared" si="21"/>
        <v>#N/A</v>
      </c>
      <c r="AG111" s="466">
        <f t="shared" si="22"/>
        <v>6</v>
      </c>
    </row>
    <row r="112" spans="15:33">
      <c r="O112" s="35">
        <f t="shared" si="23"/>
        <v>121</v>
      </c>
      <c r="P112" s="556">
        <f>[1]!srIx2Val(Q$6,O112,1)</f>
        <v>8.1250000000000003E-2</v>
      </c>
      <c r="Q112" s="559">
        <f>[1]!srIx2Val(Q$6,O112,5)</f>
        <v>0.90990000000000004</v>
      </c>
      <c r="R112" s="554">
        <f t="shared" si="13"/>
        <v>-4.0900999999999996</v>
      </c>
      <c r="S112" s="465">
        <f>IF(R112&lt;=0,0,[1]!srRng2E(Q$6,R112))</f>
        <v>0</v>
      </c>
      <c r="T112" s="482" t="e">
        <f t="shared" si="14"/>
        <v>#N/A</v>
      </c>
      <c r="U112" s="466">
        <f t="shared" si="15"/>
        <v>8.1250000000000003E-2</v>
      </c>
      <c r="V112" s="466" t="e">
        <f t="shared" si="16"/>
        <v>#N/A</v>
      </c>
      <c r="W112" s="466">
        <f t="shared" si="17"/>
        <v>3.25</v>
      </c>
      <c r="Y112" s="35">
        <f t="shared" si="24"/>
        <v>121</v>
      </c>
      <c r="Z112" s="556">
        <f>[1]!srIx2Val(AA$6,Y112,1)</f>
        <v>7.7380952380952384E-2</v>
      </c>
      <c r="AA112" s="559">
        <f>[1]!srIx2Val(AA$6,Y112,5)</f>
        <v>3.14</v>
      </c>
      <c r="AB112" s="554">
        <f t="shared" si="18"/>
        <v>-1.8599999999999999</v>
      </c>
      <c r="AC112" s="465">
        <f>IF(AB112&lt;=0,0,[1]!srRng2E(AA$6,AB112))</f>
        <v>0</v>
      </c>
      <c r="AD112" s="466" t="e">
        <f t="shared" si="19"/>
        <v>#N/A</v>
      </c>
      <c r="AE112" s="466">
        <f t="shared" si="20"/>
        <v>7.7380952380952384E-2</v>
      </c>
      <c r="AF112" s="466" t="e">
        <f t="shared" si="21"/>
        <v>#N/A</v>
      </c>
      <c r="AG112" s="466">
        <f t="shared" si="22"/>
        <v>6.5</v>
      </c>
    </row>
    <row r="113" spans="15:33">
      <c r="O113" s="35">
        <f t="shared" si="23"/>
        <v>122</v>
      </c>
      <c r="P113" s="556">
        <f>[1]!srIx2Val(Q$6,O113,1)</f>
        <v>8.7499999999999994E-2</v>
      </c>
      <c r="Q113" s="559">
        <f>[1]!srIx2Val(Q$6,O113,5)</f>
        <v>0.96489999999999987</v>
      </c>
      <c r="R113" s="554">
        <f t="shared" si="13"/>
        <v>-4.0350999999999999</v>
      </c>
      <c r="S113" s="465">
        <f>IF(R113&lt;=0,0,[1]!srRng2E(Q$6,R113))</f>
        <v>0</v>
      </c>
      <c r="T113" s="482" t="e">
        <f t="shared" si="14"/>
        <v>#N/A</v>
      </c>
      <c r="U113" s="466">
        <f t="shared" si="15"/>
        <v>8.7499999999999994E-2</v>
      </c>
      <c r="V113" s="466" t="e">
        <f t="shared" si="16"/>
        <v>#N/A</v>
      </c>
      <c r="W113" s="466">
        <f t="shared" si="17"/>
        <v>3.5</v>
      </c>
      <c r="Y113" s="35">
        <f t="shared" si="24"/>
        <v>122</v>
      </c>
      <c r="Z113" s="556">
        <f>[1]!srIx2Val(AA$6,Y113,1)</f>
        <v>8.3333333333333329E-2</v>
      </c>
      <c r="AA113" s="559">
        <f>[1]!srIx2Val(AA$6,Y113,5)</f>
        <v>3.3</v>
      </c>
      <c r="AB113" s="554">
        <f t="shared" si="18"/>
        <v>-1.7000000000000002</v>
      </c>
      <c r="AC113" s="465">
        <f>IF(AB113&lt;=0,0,[1]!srRng2E(AA$6,AB113))</f>
        <v>0</v>
      </c>
      <c r="AD113" s="466" t="e">
        <f t="shared" si="19"/>
        <v>#N/A</v>
      </c>
      <c r="AE113" s="466">
        <f t="shared" si="20"/>
        <v>8.3333333333333329E-2</v>
      </c>
      <c r="AF113" s="466" t="e">
        <f t="shared" si="21"/>
        <v>#N/A</v>
      </c>
      <c r="AG113" s="466">
        <f t="shared" si="22"/>
        <v>7</v>
      </c>
    </row>
    <row r="114" spans="15:33">
      <c r="O114" s="35">
        <f t="shared" si="23"/>
        <v>123</v>
      </c>
      <c r="P114" s="556">
        <f>[1]!srIx2Val(Q$6,O114,1)</f>
        <v>9.375E-2</v>
      </c>
      <c r="Q114" s="559">
        <f>[1]!srIx2Val(Q$6,O114,5)</f>
        <v>1.02</v>
      </c>
      <c r="R114" s="554">
        <f t="shared" si="13"/>
        <v>-3.98</v>
      </c>
      <c r="S114" s="465">
        <f>IF(R114&lt;=0,0,[1]!srRng2E(Q$6,R114))</f>
        <v>0</v>
      </c>
      <c r="T114" s="482" t="e">
        <f t="shared" si="14"/>
        <v>#N/A</v>
      </c>
      <c r="U114" s="466">
        <f t="shared" si="15"/>
        <v>9.375E-2</v>
      </c>
      <c r="V114" s="466" t="e">
        <f t="shared" si="16"/>
        <v>#N/A</v>
      </c>
      <c r="W114" s="466">
        <f t="shared" si="17"/>
        <v>3.75</v>
      </c>
      <c r="Y114" s="35">
        <f t="shared" si="24"/>
        <v>123</v>
      </c>
      <c r="Z114" s="556">
        <f>[1]!srIx2Val(AA$6,Y114,1)</f>
        <v>9.5238095238095233E-2</v>
      </c>
      <c r="AA114" s="559">
        <f>[1]!srIx2Val(AA$6,Y114,5)</f>
        <v>3.62</v>
      </c>
      <c r="AB114" s="554">
        <f t="shared" si="18"/>
        <v>-1.38</v>
      </c>
      <c r="AC114" s="465">
        <f>IF(AB114&lt;=0,0,[1]!srRng2E(AA$6,AB114))</f>
        <v>0</v>
      </c>
      <c r="AD114" s="466" t="e">
        <f t="shared" si="19"/>
        <v>#N/A</v>
      </c>
      <c r="AE114" s="466">
        <f t="shared" si="20"/>
        <v>9.5238095238095233E-2</v>
      </c>
      <c r="AF114" s="466" t="e">
        <f t="shared" si="21"/>
        <v>#N/A</v>
      </c>
      <c r="AG114" s="466">
        <f t="shared" si="22"/>
        <v>8</v>
      </c>
    </row>
    <row r="115" spans="15:33">
      <c r="O115" s="35">
        <f t="shared" si="23"/>
        <v>124</v>
      </c>
      <c r="P115" s="556">
        <f>[1]!srIx2Val(Q$6,O115,1)</f>
        <v>0.1</v>
      </c>
      <c r="Q115" s="559">
        <f>[1]!srIx2Val(Q$6,O115,5)</f>
        <v>1.07</v>
      </c>
      <c r="R115" s="554">
        <f t="shared" si="13"/>
        <v>-3.9299999999999997</v>
      </c>
      <c r="S115" s="465">
        <f>IF(R115&lt;=0,0,[1]!srRng2E(Q$6,R115))</f>
        <v>0</v>
      </c>
      <c r="T115" s="482" t="e">
        <f t="shared" si="14"/>
        <v>#N/A</v>
      </c>
      <c r="U115" s="466">
        <f t="shared" si="15"/>
        <v>0.1</v>
      </c>
      <c r="V115" s="466" t="e">
        <f t="shared" si="16"/>
        <v>#N/A</v>
      </c>
      <c r="W115" s="466">
        <f t="shared" si="17"/>
        <v>4</v>
      </c>
      <c r="Y115" s="35">
        <f t="shared" si="24"/>
        <v>124</v>
      </c>
      <c r="Z115" s="556">
        <f>[1]!srIx2Val(AA$6,Y115,1)</f>
        <v>0.10714285714285714</v>
      </c>
      <c r="AA115" s="559">
        <f>[1]!srIx2Val(AA$6,Y115,5)</f>
        <v>3.91</v>
      </c>
      <c r="AB115" s="554">
        <f t="shared" si="18"/>
        <v>-1.0899999999999999</v>
      </c>
      <c r="AC115" s="465">
        <f>IF(AB115&lt;=0,0,[1]!srRng2E(AA$6,AB115))</f>
        <v>0</v>
      </c>
      <c r="AD115" s="466" t="e">
        <f t="shared" si="19"/>
        <v>#N/A</v>
      </c>
      <c r="AE115" s="466">
        <f t="shared" si="20"/>
        <v>0.10714285714285714</v>
      </c>
      <c r="AF115" s="466" t="e">
        <f t="shared" si="21"/>
        <v>#N/A</v>
      </c>
      <c r="AG115" s="466">
        <f t="shared" si="22"/>
        <v>9</v>
      </c>
    </row>
    <row r="116" spans="15:33">
      <c r="O116" s="35">
        <f t="shared" si="23"/>
        <v>125</v>
      </c>
      <c r="P116" s="556">
        <f>[1]!srIx2Val(Q$6,O116,1)</f>
        <v>0.1125</v>
      </c>
      <c r="Q116" s="559">
        <f>[1]!srIx2Val(Q$6,O116,5)</f>
        <v>1.17</v>
      </c>
      <c r="R116" s="554">
        <f t="shared" si="13"/>
        <v>-3.83</v>
      </c>
      <c r="S116" s="465">
        <f>IF(R116&lt;=0,0,[1]!srRng2E(Q$6,R116))</f>
        <v>0</v>
      </c>
      <c r="T116" s="482" t="e">
        <f t="shared" si="14"/>
        <v>#N/A</v>
      </c>
      <c r="U116" s="466">
        <f t="shared" si="15"/>
        <v>0.1125</v>
      </c>
      <c r="V116" s="466" t="e">
        <f t="shared" si="16"/>
        <v>#N/A</v>
      </c>
      <c r="W116" s="466">
        <f t="shared" si="17"/>
        <v>4.5</v>
      </c>
      <c r="Y116" s="35">
        <f t="shared" si="24"/>
        <v>125</v>
      </c>
      <c r="Z116" s="556">
        <f>[1]!srIx2Val(AA$6,Y116,1)</f>
        <v>0.11904761904761904</v>
      </c>
      <c r="AA116" s="559">
        <f>[1]!srIx2Val(AA$6,Y116,5)</f>
        <v>4.1900000000000004</v>
      </c>
      <c r="AB116" s="554">
        <f t="shared" si="18"/>
        <v>-0.80999999999999961</v>
      </c>
      <c r="AC116" s="465">
        <f>IF(AB116&lt;=0,0,[1]!srRng2E(AA$6,AB116))</f>
        <v>0</v>
      </c>
      <c r="AD116" s="466" t="e">
        <f t="shared" si="19"/>
        <v>#N/A</v>
      </c>
      <c r="AE116" s="466">
        <f t="shared" si="20"/>
        <v>0.11904761904761904</v>
      </c>
      <c r="AF116" s="466" t="e">
        <f t="shared" si="21"/>
        <v>#N/A</v>
      </c>
      <c r="AG116" s="466">
        <f t="shared" si="22"/>
        <v>10</v>
      </c>
    </row>
    <row r="117" spans="15:33">
      <c r="O117" s="35">
        <f t="shared" si="23"/>
        <v>126</v>
      </c>
      <c r="P117" s="556">
        <f>[1]!srIx2Val(Q$6,O117,1)</f>
        <v>0.125</v>
      </c>
      <c r="Q117" s="559">
        <f>[1]!srIx2Val(Q$6,O117,5)</f>
        <v>1.26</v>
      </c>
      <c r="R117" s="554">
        <f t="shared" si="13"/>
        <v>-3.74</v>
      </c>
      <c r="S117" s="465">
        <f>IF(R117&lt;=0,0,[1]!srRng2E(Q$6,R117))</f>
        <v>0</v>
      </c>
      <c r="T117" s="482" t="e">
        <f t="shared" si="14"/>
        <v>#N/A</v>
      </c>
      <c r="U117" s="466">
        <f t="shared" si="15"/>
        <v>0.125</v>
      </c>
      <c r="V117" s="466" t="e">
        <f t="shared" si="16"/>
        <v>#N/A</v>
      </c>
      <c r="W117" s="466">
        <f t="shared" si="17"/>
        <v>5</v>
      </c>
      <c r="Y117" s="35">
        <f t="shared" si="24"/>
        <v>126</v>
      </c>
      <c r="Z117" s="556">
        <f>[1]!srIx2Val(AA$6,Y117,1)</f>
        <v>0.13095238095238096</v>
      </c>
      <c r="AA117" s="559">
        <f>[1]!srIx2Val(AA$6,Y117,5)</f>
        <v>4.46</v>
      </c>
      <c r="AB117" s="554">
        <f t="shared" si="18"/>
        <v>-0.54</v>
      </c>
      <c r="AC117" s="465">
        <f>IF(AB117&lt;=0,0,[1]!srRng2E(AA$6,AB117))</f>
        <v>0</v>
      </c>
      <c r="AD117" s="466" t="e">
        <f t="shared" si="19"/>
        <v>#N/A</v>
      </c>
      <c r="AE117" s="466">
        <f t="shared" si="20"/>
        <v>0.13095238095238096</v>
      </c>
      <c r="AF117" s="466" t="e">
        <f t="shared" si="21"/>
        <v>#N/A</v>
      </c>
      <c r="AG117" s="466">
        <f t="shared" si="22"/>
        <v>11</v>
      </c>
    </row>
    <row r="118" spans="15:33">
      <c r="O118" s="35">
        <f t="shared" si="23"/>
        <v>127</v>
      </c>
      <c r="P118" s="556">
        <f>[1]!srIx2Val(Q$6,O118,1)</f>
        <v>0.13750000000000001</v>
      </c>
      <c r="Q118" s="559">
        <f>[1]!srIx2Val(Q$6,O118,5)</f>
        <v>1.35</v>
      </c>
      <c r="R118" s="554">
        <f t="shared" si="13"/>
        <v>-3.65</v>
      </c>
      <c r="S118" s="465">
        <f>IF(R118&lt;=0,0,[1]!srRng2E(Q$6,R118))</f>
        <v>0</v>
      </c>
      <c r="T118" s="482" t="e">
        <f t="shared" si="14"/>
        <v>#N/A</v>
      </c>
      <c r="U118" s="466">
        <f t="shared" si="15"/>
        <v>0.13750000000000001</v>
      </c>
      <c r="V118" s="466" t="e">
        <f t="shared" si="16"/>
        <v>#N/A</v>
      </c>
      <c r="W118" s="466">
        <f t="shared" si="17"/>
        <v>5.5</v>
      </c>
      <c r="Y118" s="35">
        <f t="shared" si="24"/>
        <v>127</v>
      </c>
      <c r="Z118" s="556">
        <f>[1]!srIx2Val(AA$6,Y118,1)</f>
        <v>0.14285714285714285</v>
      </c>
      <c r="AA118" s="559">
        <f>[1]!srIx2Val(AA$6,Y118,5)</f>
        <v>4.71</v>
      </c>
      <c r="AB118" s="554">
        <f t="shared" si="18"/>
        <v>-0.29000000000000004</v>
      </c>
      <c r="AC118" s="465">
        <f>IF(AB118&lt;=0,0,[1]!srRng2E(AA$6,AB118))</f>
        <v>0</v>
      </c>
      <c r="AD118" s="466" t="e">
        <f t="shared" si="19"/>
        <v>#N/A</v>
      </c>
      <c r="AE118" s="466">
        <f t="shared" si="20"/>
        <v>0.14285714285714285</v>
      </c>
      <c r="AF118" s="466" t="e">
        <f t="shared" si="21"/>
        <v>#N/A</v>
      </c>
      <c r="AG118" s="466">
        <f t="shared" si="22"/>
        <v>12</v>
      </c>
    </row>
    <row r="119" spans="15:33">
      <c r="O119" s="35">
        <f t="shared" si="23"/>
        <v>128</v>
      </c>
      <c r="P119" s="556">
        <f>[1]!srIx2Val(Q$6,O119,1)</f>
        <v>0.15</v>
      </c>
      <c r="Q119" s="559">
        <f>[1]!srIx2Val(Q$6,O119,5)</f>
        <v>1.44</v>
      </c>
      <c r="R119" s="554">
        <f t="shared" si="13"/>
        <v>-3.56</v>
      </c>
      <c r="S119" s="465">
        <f>IF(R119&lt;=0,0,[1]!srRng2E(Q$6,R119))</f>
        <v>0</v>
      </c>
      <c r="T119" s="482" t="e">
        <f t="shared" si="14"/>
        <v>#N/A</v>
      </c>
      <c r="U119" s="466">
        <f t="shared" si="15"/>
        <v>0.15</v>
      </c>
      <c r="V119" s="466" t="e">
        <f t="shared" si="16"/>
        <v>#N/A</v>
      </c>
      <c r="W119" s="466">
        <f t="shared" si="17"/>
        <v>6</v>
      </c>
      <c r="Y119" s="35">
        <f t="shared" si="24"/>
        <v>128</v>
      </c>
      <c r="Z119" s="556">
        <f>[1]!srIx2Val(AA$6,Y119,1)</f>
        <v>0.15476190476190477</v>
      </c>
      <c r="AA119" s="559">
        <f>[1]!srIx2Val(AA$6,Y119,5)</f>
        <v>4.95</v>
      </c>
      <c r="AB119" s="554">
        <f t="shared" si="18"/>
        <v>-4.9999999999999822E-2</v>
      </c>
      <c r="AC119" s="465">
        <f>IF(AB119&lt;=0,0,[1]!srRng2E(AA$6,AB119))</f>
        <v>0</v>
      </c>
      <c r="AD119" s="466" t="e">
        <f t="shared" si="19"/>
        <v>#N/A</v>
      </c>
      <c r="AE119" s="466">
        <f t="shared" si="20"/>
        <v>0.15476190476190477</v>
      </c>
      <c r="AF119" s="466" t="e">
        <f t="shared" si="21"/>
        <v>#N/A</v>
      </c>
      <c r="AG119" s="466">
        <f t="shared" si="22"/>
        <v>13</v>
      </c>
    </row>
    <row r="120" spans="15:33">
      <c r="O120" s="35">
        <f t="shared" si="23"/>
        <v>129</v>
      </c>
      <c r="P120" s="556">
        <f>[1]!srIx2Val(Q$6,O120,1)</f>
        <v>0.16250000000000001</v>
      </c>
      <c r="Q120" s="559">
        <f>[1]!srIx2Val(Q$6,O120,5)</f>
        <v>1.52</v>
      </c>
      <c r="R120" s="554">
        <f t="shared" si="13"/>
        <v>-3.48</v>
      </c>
      <c r="S120" s="465">
        <f>IF(R120&lt;=0,0,[1]!srRng2E(Q$6,R120))</f>
        <v>0</v>
      </c>
      <c r="T120" s="482" t="e">
        <f t="shared" si="14"/>
        <v>#N/A</v>
      </c>
      <c r="U120" s="466">
        <f t="shared" si="15"/>
        <v>0.16250000000000001</v>
      </c>
      <c r="V120" s="466" t="e">
        <f t="shared" si="16"/>
        <v>#N/A</v>
      </c>
      <c r="W120" s="466">
        <f t="shared" si="17"/>
        <v>6.5</v>
      </c>
      <c r="Y120" s="35">
        <f t="shared" si="24"/>
        <v>129</v>
      </c>
      <c r="Z120" s="556">
        <f>[1]!srIx2Val(AA$6,Y120,1)</f>
        <v>0.16666666666666666</v>
      </c>
      <c r="AA120" s="559">
        <f>[1]!srIx2Val(AA$6,Y120,5)</f>
        <v>5.19</v>
      </c>
      <c r="AB120" s="554">
        <f t="shared" si="18"/>
        <v>0.19000000000000039</v>
      </c>
      <c r="AC120" s="465">
        <f>IF(AB120&lt;=0,0,[1]!srRng2E(AA$6,AB120))</f>
        <v>3.9112773487773563E-3</v>
      </c>
      <c r="AD120" s="466">
        <f t="shared" si="19"/>
        <v>0.1627553893178893</v>
      </c>
      <c r="AE120" s="466" t="e">
        <f t="shared" si="20"/>
        <v>#N/A</v>
      </c>
      <c r="AF120" s="466">
        <f t="shared" si="21"/>
        <v>13.671452702702702</v>
      </c>
      <c r="AG120" s="466" t="e">
        <f t="shared" si="22"/>
        <v>#N/A</v>
      </c>
    </row>
    <row r="121" spans="15:33">
      <c r="O121" s="35">
        <f t="shared" si="23"/>
        <v>130</v>
      </c>
      <c r="P121" s="556">
        <f>[1]!srIx2Val(Q$6,O121,1)</f>
        <v>0.17499999999999999</v>
      </c>
      <c r="Q121" s="559">
        <f>[1]!srIx2Val(Q$6,O121,5)</f>
        <v>1.59</v>
      </c>
      <c r="R121" s="554">
        <f t="shared" si="13"/>
        <v>-3.41</v>
      </c>
      <c r="S121" s="465">
        <f>IF(R121&lt;=0,0,[1]!srRng2E(Q$6,R121))</f>
        <v>0</v>
      </c>
      <c r="T121" s="482" t="e">
        <f t="shared" si="14"/>
        <v>#N/A</v>
      </c>
      <c r="U121" s="466">
        <f t="shared" si="15"/>
        <v>0.17499999999999999</v>
      </c>
      <c r="V121" s="466" t="e">
        <f t="shared" si="16"/>
        <v>#N/A</v>
      </c>
      <c r="W121" s="466">
        <f t="shared" si="17"/>
        <v>7</v>
      </c>
      <c r="Y121" s="35">
        <f t="shared" si="24"/>
        <v>130</v>
      </c>
      <c r="Z121" s="556">
        <f>[1]!srIx2Val(AA$6,Y121,1)</f>
        <v>0.17857142857142858</v>
      </c>
      <c r="AA121" s="559">
        <f>[1]!srIx2Val(AA$6,Y121,5)</f>
        <v>5.41</v>
      </c>
      <c r="AB121" s="554">
        <f t="shared" si="18"/>
        <v>0.41000000000000014</v>
      </c>
      <c r="AC121" s="465">
        <f>IF(AB121&lt;=0,0,[1]!srRng2E(AA$6,AB121))</f>
        <v>8.2427955000770551E-3</v>
      </c>
      <c r="AD121" s="466">
        <f t="shared" si="19"/>
        <v>0.17032863307135152</v>
      </c>
      <c r="AE121" s="466" t="e">
        <f t="shared" si="20"/>
        <v>#N/A</v>
      </c>
      <c r="AF121" s="466">
        <f t="shared" si="21"/>
        <v>14.307605177993528</v>
      </c>
      <c r="AG121" s="466" t="e">
        <f t="shared" si="22"/>
        <v>#N/A</v>
      </c>
    </row>
    <row r="122" spans="15:33">
      <c r="O122" s="35">
        <f t="shared" si="23"/>
        <v>131</v>
      </c>
      <c r="P122" s="556">
        <f>[1]!srIx2Val(Q$6,O122,1)</f>
        <v>0.2</v>
      </c>
      <c r="Q122" s="559">
        <f>[1]!srIx2Val(Q$6,O122,5)</f>
        <v>1.74</v>
      </c>
      <c r="R122" s="554">
        <f t="shared" si="13"/>
        <v>-3.26</v>
      </c>
      <c r="S122" s="465">
        <f>IF(R122&lt;=0,0,[1]!srRng2E(Q$6,R122))</f>
        <v>0</v>
      </c>
      <c r="T122" s="482" t="e">
        <f t="shared" si="14"/>
        <v>#N/A</v>
      </c>
      <c r="U122" s="466">
        <f t="shared" si="15"/>
        <v>0.2</v>
      </c>
      <c r="V122" s="466" t="e">
        <f t="shared" si="16"/>
        <v>#N/A</v>
      </c>
      <c r="W122" s="466">
        <f t="shared" si="17"/>
        <v>8</v>
      </c>
      <c r="Y122" s="35">
        <f t="shared" si="24"/>
        <v>131</v>
      </c>
      <c r="Z122" s="556">
        <f>[1]!srIx2Val(AA$6,Y122,1)</f>
        <v>0.19047619047619047</v>
      </c>
      <c r="AA122" s="559">
        <f>[1]!srIx2Val(AA$6,Y122,5)</f>
        <v>5.63</v>
      </c>
      <c r="AB122" s="554">
        <f t="shared" si="18"/>
        <v>0.62999999999999989</v>
      </c>
      <c r="AC122" s="465">
        <f>IF(AB122&lt;=0,0,[1]!srRng2E(AA$6,AB122))</f>
        <v>1.2391434561245879E-2</v>
      </c>
      <c r="AD122" s="466">
        <f t="shared" si="19"/>
        <v>0.17808475591494458</v>
      </c>
      <c r="AE122" s="466" t="e">
        <f t="shared" si="20"/>
        <v>#N/A</v>
      </c>
      <c r="AF122" s="466">
        <f t="shared" si="21"/>
        <v>14.959119496855344</v>
      </c>
      <c r="AG122" s="466" t="e">
        <f t="shared" si="22"/>
        <v>#N/A</v>
      </c>
    </row>
    <row r="123" spans="15:33">
      <c r="O123" s="35">
        <f t="shared" si="23"/>
        <v>132</v>
      </c>
      <c r="P123" s="556">
        <f>[1]!srIx2Val(Q$6,O123,1)</f>
        <v>0.22500000000000001</v>
      </c>
      <c r="Q123" s="559">
        <f>[1]!srIx2Val(Q$6,O123,5)</f>
        <v>1.87</v>
      </c>
      <c r="R123" s="554">
        <f t="shared" si="13"/>
        <v>-3.13</v>
      </c>
      <c r="S123" s="465">
        <f>IF(R123&lt;=0,0,[1]!srRng2E(Q$6,R123))</f>
        <v>0</v>
      </c>
      <c r="T123" s="482" t="e">
        <f t="shared" si="14"/>
        <v>#N/A</v>
      </c>
      <c r="U123" s="466">
        <f t="shared" si="15"/>
        <v>0.22500000000000001</v>
      </c>
      <c r="V123" s="466" t="e">
        <f t="shared" si="16"/>
        <v>#N/A</v>
      </c>
      <c r="W123" s="466">
        <f t="shared" si="17"/>
        <v>9</v>
      </c>
      <c r="Y123" s="35">
        <f t="shared" si="24"/>
        <v>132</v>
      </c>
      <c r="Z123" s="556">
        <f>[1]!srIx2Val(AA$6,Y123,1)</f>
        <v>0.20238095238095238</v>
      </c>
      <c r="AA123" s="559">
        <f>[1]!srIx2Val(AA$6,Y123,5)</f>
        <v>5.84</v>
      </c>
      <c r="AB123" s="554">
        <f t="shared" si="18"/>
        <v>0.83999999999999986</v>
      </c>
      <c r="AC123" s="465">
        <f>IF(AB123&lt;=0,0,[1]!srRng2E(AA$6,AB123))</f>
        <v>1.6338717015468605E-2</v>
      </c>
      <c r="AD123" s="466">
        <f t="shared" si="19"/>
        <v>0.18604223536548378</v>
      </c>
      <c r="AE123" s="466" t="e">
        <f t="shared" si="20"/>
        <v>#N/A</v>
      </c>
      <c r="AF123" s="466">
        <f t="shared" si="21"/>
        <v>15.627547770700637</v>
      </c>
      <c r="AG123" s="466" t="e">
        <f t="shared" si="22"/>
        <v>#N/A</v>
      </c>
    </row>
    <row r="124" spans="15:33">
      <c r="O124" s="35">
        <f t="shared" si="23"/>
        <v>133</v>
      </c>
      <c r="P124" s="556">
        <f>[1]!srIx2Val(Q$6,O124,1)</f>
        <v>0.25</v>
      </c>
      <c r="Q124" s="559">
        <f>[1]!srIx2Val(Q$6,O124,5)</f>
        <v>2</v>
      </c>
      <c r="R124" s="554">
        <f t="shared" si="13"/>
        <v>-3</v>
      </c>
      <c r="S124" s="465">
        <f>IF(R124&lt;=0,0,[1]!srRng2E(Q$6,R124))</f>
        <v>0</v>
      </c>
      <c r="T124" s="482" t="e">
        <f t="shared" si="14"/>
        <v>#N/A</v>
      </c>
      <c r="U124" s="466">
        <f t="shared" si="15"/>
        <v>0.25</v>
      </c>
      <c r="V124" s="466" t="e">
        <f t="shared" si="16"/>
        <v>#N/A</v>
      </c>
      <c r="W124" s="466">
        <f t="shared" si="17"/>
        <v>10</v>
      </c>
      <c r="Y124" s="35">
        <f t="shared" si="24"/>
        <v>133</v>
      </c>
      <c r="Z124" s="556">
        <f>[1]!srIx2Val(AA$6,Y124,1)</f>
        <v>0.21428571428571427</v>
      </c>
      <c r="AA124" s="559">
        <f>[1]!srIx2Val(AA$6,Y124,5)</f>
        <v>6.05</v>
      </c>
      <c r="AB124" s="554">
        <f t="shared" si="18"/>
        <v>1.0499999999999998</v>
      </c>
      <c r="AC124" s="465">
        <f>IF(AB124&lt;=0,0,[1]!srRng2E(AA$6,AB124))</f>
        <v>2.0436507936507933E-2</v>
      </c>
      <c r="AD124" s="466">
        <f t="shared" si="19"/>
        <v>0.19384920634920633</v>
      </c>
      <c r="AE124" s="466" t="e">
        <f t="shared" si="20"/>
        <v>#N/A</v>
      </c>
      <c r="AF124" s="466">
        <f t="shared" si="21"/>
        <v>16.283333333333331</v>
      </c>
      <c r="AG124" s="466" t="e">
        <f t="shared" si="22"/>
        <v>#N/A</v>
      </c>
    </row>
    <row r="125" spans="15:33">
      <c r="O125" s="35">
        <f t="shared" si="23"/>
        <v>134</v>
      </c>
      <c r="P125" s="556">
        <f>[1]!srIx2Val(Q$6,O125,1)</f>
        <v>0.27500000000000002</v>
      </c>
      <c r="Q125" s="559">
        <f>[1]!srIx2Val(Q$6,O125,5)</f>
        <v>2.12</v>
      </c>
      <c r="R125" s="554">
        <f t="shared" si="13"/>
        <v>-2.88</v>
      </c>
      <c r="S125" s="465">
        <f>IF(R125&lt;=0,0,[1]!srRng2E(Q$6,R125))</f>
        <v>0</v>
      </c>
      <c r="T125" s="482" t="e">
        <f t="shared" si="14"/>
        <v>#N/A</v>
      </c>
      <c r="U125" s="466">
        <f t="shared" si="15"/>
        <v>0.27500000000000002</v>
      </c>
      <c r="V125" s="466" t="e">
        <f t="shared" si="16"/>
        <v>#N/A</v>
      </c>
      <c r="W125" s="466">
        <f t="shared" si="17"/>
        <v>11</v>
      </c>
      <c r="Y125" s="35">
        <f t="shared" si="24"/>
        <v>134</v>
      </c>
      <c r="Z125" s="556">
        <f>[1]!srIx2Val(AA$6,Y125,1)</f>
        <v>0.23809523809523808</v>
      </c>
      <c r="AA125" s="559">
        <f>[1]!srIx2Val(AA$6,Y125,5)</f>
        <v>6.44</v>
      </c>
      <c r="AB125" s="554">
        <f t="shared" si="18"/>
        <v>1.4400000000000004</v>
      </c>
      <c r="AC125" s="465">
        <f>IF(AB125&lt;=0,0,[1]!srRng2E(AA$6,AB125))</f>
        <v>2.8617216117216123E-2</v>
      </c>
      <c r="AD125" s="466">
        <f t="shared" si="19"/>
        <v>0.20947802197802196</v>
      </c>
      <c r="AE125" s="466" t="e">
        <f t="shared" si="20"/>
        <v>#N/A</v>
      </c>
      <c r="AF125" s="466">
        <f t="shared" si="21"/>
        <v>17.596153846153843</v>
      </c>
      <c r="AG125" s="466" t="e">
        <f t="shared" si="22"/>
        <v>#N/A</v>
      </c>
    </row>
    <row r="126" spans="15:33">
      <c r="O126" s="35">
        <f t="shared" si="23"/>
        <v>135</v>
      </c>
      <c r="P126" s="556">
        <f>[1]!srIx2Val(Q$6,O126,1)</f>
        <v>0.3</v>
      </c>
      <c r="Q126" s="559">
        <f>[1]!srIx2Val(Q$6,O126,5)</f>
        <v>2.23</v>
      </c>
      <c r="R126" s="554">
        <f t="shared" si="13"/>
        <v>-2.77</v>
      </c>
      <c r="S126" s="465">
        <f>IF(R126&lt;=0,0,[1]!srRng2E(Q$6,R126))</f>
        <v>0</v>
      </c>
      <c r="T126" s="482" t="e">
        <f t="shared" si="14"/>
        <v>#N/A</v>
      </c>
      <c r="U126" s="466">
        <f t="shared" si="15"/>
        <v>0.3</v>
      </c>
      <c r="V126" s="466" t="e">
        <f t="shared" si="16"/>
        <v>#N/A</v>
      </c>
      <c r="W126" s="466">
        <f t="shared" si="17"/>
        <v>12</v>
      </c>
      <c r="Y126" s="35">
        <f t="shared" si="24"/>
        <v>135</v>
      </c>
      <c r="Z126" s="556">
        <f>[1]!srIx2Val(AA$6,Y126,1)</f>
        <v>0.26785714285714285</v>
      </c>
      <c r="AA126" s="559">
        <f>[1]!srIx2Val(AA$6,Y126,5)</f>
        <v>6.91</v>
      </c>
      <c r="AB126" s="554">
        <f t="shared" si="18"/>
        <v>1.9100000000000001</v>
      </c>
      <c r="AC126" s="465">
        <f>IF(AB126&lt;=0,0,[1]!srRng2E(AA$6,AB126))</f>
        <v>3.9772727272727272E-2</v>
      </c>
      <c r="AD126" s="466">
        <f t="shared" si="19"/>
        <v>0.22808441558441558</v>
      </c>
      <c r="AE126" s="466" t="e">
        <f t="shared" si="20"/>
        <v>#N/A</v>
      </c>
      <c r="AF126" s="466">
        <f t="shared" si="21"/>
        <v>19.15909090909091</v>
      </c>
      <c r="AG126" s="466" t="e">
        <f t="shared" si="22"/>
        <v>#N/A</v>
      </c>
    </row>
    <row r="127" spans="15:33">
      <c r="O127" s="35">
        <f t="shared" si="23"/>
        <v>136</v>
      </c>
      <c r="P127" s="556">
        <f>[1]!srIx2Val(Q$6,O127,1)</f>
        <v>0.32500000000000001</v>
      </c>
      <c r="Q127" s="559">
        <f>[1]!srIx2Val(Q$6,O127,5)</f>
        <v>2.34</v>
      </c>
      <c r="R127" s="554">
        <f t="shared" si="13"/>
        <v>-2.66</v>
      </c>
      <c r="S127" s="465">
        <f>IF(R127&lt;=0,0,[1]!srRng2E(Q$6,R127))</f>
        <v>0</v>
      </c>
      <c r="T127" s="482" t="e">
        <f t="shared" si="14"/>
        <v>#N/A</v>
      </c>
      <c r="U127" s="466">
        <f t="shared" si="15"/>
        <v>0.32500000000000001</v>
      </c>
      <c r="V127" s="466" t="e">
        <f t="shared" si="16"/>
        <v>#N/A</v>
      </c>
      <c r="W127" s="466">
        <f t="shared" si="17"/>
        <v>13</v>
      </c>
      <c r="Y127" s="35">
        <f t="shared" si="24"/>
        <v>136</v>
      </c>
      <c r="Z127" s="556">
        <f>[1]!srIx2Val(AA$6,Y127,1)</f>
        <v>0.29761904761904762</v>
      </c>
      <c r="AA127" s="559">
        <f>[1]!srIx2Val(AA$6,Y127,5)</f>
        <v>7.35</v>
      </c>
      <c r="AB127" s="554">
        <f t="shared" si="18"/>
        <v>2.3499999999999996</v>
      </c>
      <c r="AC127" s="465">
        <f>IF(AB127&lt;=0,0,[1]!srRng2E(AA$6,AB127))</f>
        <v>5.1870748299319709E-2</v>
      </c>
      <c r="AD127" s="466">
        <f t="shared" si="19"/>
        <v>0.24574829931972791</v>
      </c>
      <c r="AE127" s="466" t="e">
        <f t="shared" si="20"/>
        <v>#N/A</v>
      </c>
      <c r="AF127" s="466">
        <f t="shared" si="21"/>
        <v>20.642857142857146</v>
      </c>
      <c r="AG127" s="466" t="e">
        <f t="shared" si="22"/>
        <v>#N/A</v>
      </c>
    </row>
    <row r="128" spans="15:33">
      <c r="O128" s="35">
        <f t="shared" si="23"/>
        <v>137</v>
      </c>
      <c r="P128" s="556">
        <f>[1]!srIx2Val(Q$6,O128,1)</f>
        <v>0.35</v>
      </c>
      <c r="Q128" s="559">
        <f>[1]!srIx2Val(Q$6,O128,5)</f>
        <v>2.44</v>
      </c>
      <c r="R128" s="554">
        <f t="shared" si="13"/>
        <v>-2.56</v>
      </c>
      <c r="S128" s="465">
        <f>IF(R128&lt;=0,0,[1]!srRng2E(Q$6,R128))</f>
        <v>0</v>
      </c>
      <c r="T128" s="482" t="e">
        <f t="shared" si="14"/>
        <v>#N/A</v>
      </c>
      <c r="U128" s="466">
        <f t="shared" si="15"/>
        <v>0.35</v>
      </c>
      <c r="V128" s="466" t="e">
        <f t="shared" si="16"/>
        <v>#N/A</v>
      </c>
      <c r="W128" s="466">
        <f t="shared" si="17"/>
        <v>14</v>
      </c>
      <c r="Y128" s="35">
        <f t="shared" si="24"/>
        <v>137</v>
      </c>
      <c r="Z128" s="556">
        <f>[1]!srIx2Val(AA$6,Y128,1)</f>
        <v>0.32738095238095238</v>
      </c>
      <c r="AA128" s="559">
        <f>[1]!srIx2Val(AA$6,Y128,5)</f>
        <v>7.77</v>
      </c>
      <c r="AB128" s="554">
        <f t="shared" si="18"/>
        <v>2.7699999999999996</v>
      </c>
      <c r="AC128" s="465">
        <f>IF(AB128&lt;=0,0,[1]!srRng2E(AA$6,AB128))</f>
        <v>6.4849624060150365E-2</v>
      </c>
      <c r="AD128" s="466">
        <f t="shared" si="19"/>
        <v>0.262531328320802</v>
      </c>
      <c r="AE128" s="466" t="e">
        <f t="shared" si="20"/>
        <v>#N/A</v>
      </c>
      <c r="AF128" s="466">
        <f t="shared" si="21"/>
        <v>22.05263157894737</v>
      </c>
      <c r="AG128" s="466" t="e">
        <f t="shared" si="22"/>
        <v>#N/A</v>
      </c>
    </row>
    <row r="129" spans="15:33">
      <c r="O129" s="35">
        <f t="shared" si="23"/>
        <v>138</v>
      </c>
      <c r="P129" s="556">
        <f>[1]!srIx2Val(Q$6,O129,1)</f>
        <v>0.375</v>
      </c>
      <c r="Q129" s="559">
        <f>[1]!srIx2Val(Q$6,O129,5)</f>
        <v>2.54</v>
      </c>
      <c r="R129" s="554">
        <f t="shared" si="13"/>
        <v>-2.46</v>
      </c>
      <c r="S129" s="465">
        <f>IF(R129&lt;=0,0,[1]!srRng2E(Q$6,R129))</f>
        <v>0</v>
      </c>
      <c r="T129" s="482" t="e">
        <f t="shared" si="14"/>
        <v>#N/A</v>
      </c>
      <c r="U129" s="466">
        <f t="shared" si="15"/>
        <v>0.375</v>
      </c>
      <c r="V129" s="466" t="e">
        <f t="shared" si="16"/>
        <v>#N/A</v>
      </c>
      <c r="W129" s="466">
        <f t="shared" si="17"/>
        <v>15</v>
      </c>
      <c r="Y129" s="35">
        <f t="shared" si="24"/>
        <v>138</v>
      </c>
      <c r="Z129" s="556">
        <f>[1]!srIx2Val(AA$6,Y129,1)</f>
        <v>0.35714285714285715</v>
      </c>
      <c r="AA129" s="559">
        <f>[1]!srIx2Val(AA$6,Y129,5)</f>
        <v>8.18</v>
      </c>
      <c r="AB129" s="554">
        <f t="shared" si="18"/>
        <v>3.1799999999999997</v>
      </c>
      <c r="AC129" s="465">
        <f>IF(AB129&lt;=0,0,[1]!srRng2E(AA$6,AB129))</f>
        <v>7.8869047619047603E-2</v>
      </c>
      <c r="AD129" s="466">
        <f t="shared" si="19"/>
        <v>0.27827380952380953</v>
      </c>
      <c r="AE129" s="466" t="e">
        <f t="shared" si="20"/>
        <v>#N/A</v>
      </c>
      <c r="AF129" s="466">
        <f t="shared" si="21"/>
        <v>23.375</v>
      </c>
      <c r="AG129" s="466" t="e">
        <f t="shared" si="22"/>
        <v>#N/A</v>
      </c>
    </row>
    <row r="130" spans="15:33">
      <c r="O130" s="35">
        <f t="shared" si="23"/>
        <v>139</v>
      </c>
      <c r="P130" s="556">
        <f>[1]!srIx2Val(Q$6,O130,1)</f>
        <v>0.4</v>
      </c>
      <c r="Q130" s="559">
        <f>[1]!srIx2Val(Q$6,O130,5)</f>
        <v>2.64</v>
      </c>
      <c r="R130" s="554">
        <f t="shared" si="13"/>
        <v>-2.36</v>
      </c>
      <c r="S130" s="465">
        <f>IF(R130&lt;=0,0,[1]!srRng2E(Q$6,R130))</f>
        <v>0</v>
      </c>
      <c r="T130" s="482" t="e">
        <f t="shared" si="14"/>
        <v>#N/A</v>
      </c>
      <c r="U130" s="466">
        <f t="shared" si="15"/>
        <v>0.4</v>
      </c>
      <c r="V130" s="466" t="e">
        <f t="shared" si="16"/>
        <v>#N/A</v>
      </c>
      <c r="W130" s="466">
        <f t="shared" si="17"/>
        <v>16</v>
      </c>
      <c r="Y130" s="35">
        <f t="shared" si="24"/>
        <v>139</v>
      </c>
      <c r="Z130" s="556">
        <f>[1]!srIx2Val(AA$6,Y130,1)</f>
        <v>0.38690476190476192</v>
      </c>
      <c r="AA130" s="559">
        <f>[1]!srIx2Val(AA$6,Y130,5)</f>
        <v>8.57</v>
      </c>
      <c r="AB130" s="554">
        <f t="shared" si="18"/>
        <v>3.5700000000000003</v>
      </c>
      <c r="AC130" s="465">
        <f>IF(AB130&lt;=0,0,[1]!srRng2E(AA$6,AB130))</f>
        <v>9.3377976190476192E-2</v>
      </c>
      <c r="AD130" s="466">
        <f t="shared" si="19"/>
        <v>0.2935267857142857</v>
      </c>
      <c r="AE130" s="466" t="e">
        <f t="shared" si="20"/>
        <v>#N/A</v>
      </c>
      <c r="AF130" s="466">
        <f t="shared" si="21"/>
        <v>24.65625</v>
      </c>
      <c r="AG130" s="466" t="e">
        <f t="shared" si="22"/>
        <v>#N/A</v>
      </c>
    </row>
    <row r="131" spans="15:33">
      <c r="O131" s="35">
        <f t="shared" si="23"/>
        <v>140</v>
      </c>
      <c r="P131" s="556">
        <f>[1]!srIx2Val(Q$6,O131,1)</f>
        <v>0.42499999999999999</v>
      </c>
      <c r="Q131" s="559">
        <f>[1]!srIx2Val(Q$6,O131,5)</f>
        <v>2.73</v>
      </c>
      <c r="R131" s="554">
        <f t="shared" si="13"/>
        <v>-2.27</v>
      </c>
      <c r="S131" s="465">
        <f>IF(R131&lt;=0,0,[1]!srRng2E(Q$6,R131))</f>
        <v>0</v>
      </c>
      <c r="T131" s="482" t="e">
        <f t="shared" si="14"/>
        <v>#N/A</v>
      </c>
      <c r="U131" s="466">
        <f t="shared" si="15"/>
        <v>0.42499999999999999</v>
      </c>
      <c r="V131" s="466" t="e">
        <f t="shared" si="16"/>
        <v>#N/A</v>
      </c>
      <c r="W131" s="466">
        <f t="shared" si="17"/>
        <v>17</v>
      </c>
      <c r="Y131" s="35">
        <f t="shared" si="24"/>
        <v>140</v>
      </c>
      <c r="Z131" s="556">
        <f>[1]!srIx2Val(AA$6,Y131,1)</f>
        <v>0.41666666666666669</v>
      </c>
      <c r="AA131" s="559">
        <f>[1]!srIx2Val(AA$6,Y131,5)</f>
        <v>8.9600000000000009</v>
      </c>
      <c r="AB131" s="554">
        <f t="shared" si="18"/>
        <v>3.9600000000000009</v>
      </c>
      <c r="AC131" s="465">
        <f>IF(AB131&lt;=0,0,[1]!srRng2E(AA$6,AB131))</f>
        <v>0.10926870748299322</v>
      </c>
      <c r="AD131" s="466">
        <f t="shared" si="19"/>
        <v>0.30739795918367346</v>
      </c>
      <c r="AE131" s="466" t="e">
        <f t="shared" si="20"/>
        <v>#N/A</v>
      </c>
      <c r="AF131" s="466">
        <f t="shared" si="21"/>
        <v>25.821428571428569</v>
      </c>
      <c r="AG131" s="466" t="e">
        <f t="shared" si="22"/>
        <v>#N/A</v>
      </c>
    </row>
    <row r="132" spans="15:33">
      <c r="O132" s="35">
        <f t="shared" si="23"/>
        <v>141</v>
      </c>
      <c r="P132" s="556">
        <f>[1]!srIx2Val(Q$6,O132,1)</f>
        <v>0.45</v>
      </c>
      <c r="Q132" s="559">
        <f>[1]!srIx2Val(Q$6,O132,5)</f>
        <v>2.82</v>
      </c>
      <c r="R132" s="554">
        <f t="shared" si="13"/>
        <v>-2.1800000000000002</v>
      </c>
      <c r="S132" s="465">
        <f>IF(R132&lt;=0,0,[1]!srRng2E(Q$6,R132))</f>
        <v>0</v>
      </c>
      <c r="T132" s="482" t="e">
        <f t="shared" si="14"/>
        <v>#N/A</v>
      </c>
      <c r="U132" s="466">
        <f t="shared" si="15"/>
        <v>0.45</v>
      </c>
      <c r="V132" s="466" t="e">
        <f t="shared" si="16"/>
        <v>#N/A</v>
      </c>
      <c r="W132" s="466">
        <f t="shared" si="17"/>
        <v>18</v>
      </c>
      <c r="Y132" s="35">
        <f t="shared" si="24"/>
        <v>141</v>
      </c>
      <c r="Z132" s="556">
        <f>[1]!srIx2Val(AA$6,Y132,1)</f>
        <v>0.44642857142857145</v>
      </c>
      <c r="AA132" s="559">
        <f>[1]!srIx2Val(AA$6,Y132,5)</f>
        <v>9.33</v>
      </c>
      <c r="AB132" s="554">
        <f t="shared" si="18"/>
        <v>4.33</v>
      </c>
      <c r="AC132" s="465">
        <f>IF(AB132&lt;=0,0,[1]!srRng2E(AA$6,AB132))</f>
        <v>0.12522045855379188</v>
      </c>
      <c r="AD132" s="466">
        <f t="shared" si="19"/>
        <v>0.32120811287477957</v>
      </c>
      <c r="AE132" s="466" t="e">
        <f t="shared" si="20"/>
        <v>#N/A</v>
      </c>
      <c r="AF132" s="466">
        <f t="shared" si="21"/>
        <v>26.981481481481485</v>
      </c>
      <c r="AG132" s="466" t="e">
        <f t="shared" si="22"/>
        <v>#N/A</v>
      </c>
    </row>
    <row r="133" spans="15:33">
      <c r="O133" s="35">
        <f t="shared" si="23"/>
        <v>142</v>
      </c>
      <c r="P133" s="556">
        <f>[1]!srIx2Val(Q$6,O133,1)</f>
        <v>0.5</v>
      </c>
      <c r="Q133" s="559">
        <f>[1]!srIx2Val(Q$6,O133,5)</f>
        <v>3</v>
      </c>
      <c r="R133" s="554">
        <f t="shared" si="13"/>
        <v>-2</v>
      </c>
      <c r="S133" s="465">
        <f>IF(R133&lt;=0,0,[1]!srRng2E(Q$6,R133))</f>
        <v>0</v>
      </c>
      <c r="T133" s="482" t="e">
        <f t="shared" si="14"/>
        <v>#N/A</v>
      </c>
      <c r="U133" s="466">
        <f t="shared" si="15"/>
        <v>0.5</v>
      </c>
      <c r="V133" s="466" t="e">
        <f t="shared" si="16"/>
        <v>#N/A</v>
      </c>
      <c r="W133" s="466">
        <f t="shared" si="17"/>
        <v>20</v>
      </c>
      <c r="Y133" s="35">
        <f t="shared" si="24"/>
        <v>142</v>
      </c>
      <c r="Z133" s="556">
        <f>[1]!srIx2Val(AA$6,Y133,1)</f>
        <v>0.47619047619047616</v>
      </c>
      <c r="AA133" s="559">
        <f>[1]!srIx2Val(AA$6,Y133,5)</f>
        <v>9.69</v>
      </c>
      <c r="AB133" s="554">
        <f t="shared" si="18"/>
        <v>4.6899999999999995</v>
      </c>
      <c r="AC133" s="465">
        <f>IF(AB133&lt;=0,0,[1]!srRng2E(AA$6,AB133))</f>
        <v>0.14190476190476187</v>
      </c>
      <c r="AD133" s="466">
        <f t="shared" si="19"/>
        <v>0.3342857142857143</v>
      </c>
      <c r="AE133" s="466" t="e">
        <f t="shared" si="20"/>
        <v>#N/A</v>
      </c>
      <c r="AF133" s="466">
        <f t="shared" si="21"/>
        <v>28.080000000000002</v>
      </c>
      <c r="AG133" s="466" t="e">
        <f t="shared" si="22"/>
        <v>#N/A</v>
      </c>
    </row>
    <row r="134" spans="15:33">
      <c r="O134" s="35">
        <f t="shared" si="23"/>
        <v>143</v>
      </c>
      <c r="P134" s="556">
        <f>[1]!srIx2Val(Q$6,O134,1)</f>
        <v>0.5625</v>
      </c>
      <c r="Q134" s="559">
        <f>[1]!srIx2Val(Q$6,O134,5)</f>
        <v>3.21</v>
      </c>
      <c r="R134" s="554">
        <f t="shared" si="13"/>
        <v>-1.79</v>
      </c>
      <c r="S134" s="465">
        <f>IF(R134&lt;=0,0,[1]!srRng2E(Q$6,R134))</f>
        <v>0</v>
      </c>
      <c r="T134" s="482" t="e">
        <f t="shared" si="14"/>
        <v>#N/A</v>
      </c>
      <c r="U134" s="466">
        <f t="shared" si="15"/>
        <v>0.5625</v>
      </c>
      <c r="V134" s="466" t="e">
        <f t="shared" si="16"/>
        <v>#N/A</v>
      </c>
      <c r="W134" s="466">
        <f t="shared" si="17"/>
        <v>22.5</v>
      </c>
      <c r="Y134" s="35">
        <f t="shared" si="24"/>
        <v>143</v>
      </c>
      <c r="Z134" s="556">
        <f>[1]!srIx2Val(AA$6,Y134,1)</f>
        <v>0.5357142857142857</v>
      </c>
      <c r="AA134" s="559">
        <f>[1]!srIx2Val(AA$6,Y134,5)</f>
        <v>10.4</v>
      </c>
      <c r="AB134" s="554">
        <f t="shared" si="18"/>
        <v>5.4</v>
      </c>
      <c r="AC134" s="465">
        <f>IF(AB134&lt;=0,0,[1]!srRng2E(AA$6,AB134))</f>
        <v>0.17803030303030304</v>
      </c>
      <c r="AD134" s="466">
        <f t="shared" si="19"/>
        <v>0.35768398268398266</v>
      </c>
      <c r="AE134" s="466" t="e">
        <f t="shared" si="20"/>
        <v>#N/A</v>
      </c>
      <c r="AF134" s="466">
        <f t="shared" si="21"/>
        <v>30.045454545454543</v>
      </c>
      <c r="AG134" s="466" t="e">
        <f t="shared" si="22"/>
        <v>#N/A</v>
      </c>
    </row>
    <row r="135" spans="15:33">
      <c r="O135" s="35">
        <f t="shared" si="23"/>
        <v>144</v>
      </c>
      <c r="P135" s="556">
        <f>[1]!srIx2Val(Q$6,O135,1)</f>
        <v>0.625</v>
      </c>
      <c r="Q135" s="559">
        <f>[1]!srIx2Val(Q$6,O135,5)</f>
        <v>3.41</v>
      </c>
      <c r="R135" s="554">
        <f t="shared" si="13"/>
        <v>-1.5899999999999999</v>
      </c>
      <c r="S135" s="465">
        <f>IF(R135&lt;=0,0,[1]!srRng2E(Q$6,R135))</f>
        <v>0</v>
      </c>
      <c r="T135" s="482" t="e">
        <f t="shared" si="14"/>
        <v>#N/A</v>
      </c>
      <c r="U135" s="466">
        <f t="shared" si="15"/>
        <v>0.625</v>
      </c>
      <c r="V135" s="466" t="e">
        <f t="shared" si="16"/>
        <v>#N/A</v>
      </c>
      <c r="W135" s="466">
        <f t="shared" si="17"/>
        <v>25</v>
      </c>
      <c r="Y135" s="35">
        <f t="shared" si="24"/>
        <v>144</v>
      </c>
      <c r="Z135" s="556">
        <f>[1]!srIx2Val(AA$6,Y135,1)</f>
        <v>0.59523809523809523</v>
      </c>
      <c r="AA135" s="559">
        <f>[1]!srIx2Val(AA$6,Y135,5)</f>
        <v>11.08</v>
      </c>
      <c r="AB135" s="554">
        <f t="shared" si="18"/>
        <v>6.08</v>
      </c>
      <c r="AC135" s="465">
        <f>IF(AB135&lt;=0,0,[1]!srRng2E(AA$6,AB135))</f>
        <v>0.21611721611721613</v>
      </c>
      <c r="AD135" s="466">
        <f t="shared" si="19"/>
        <v>0.37912087912087911</v>
      </c>
      <c r="AE135" s="466" t="e">
        <f t="shared" si="20"/>
        <v>#N/A</v>
      </c>
      <c r="AF135" s="466">
        <f t="shared" si="21"/>
        <v>31.846153846153847</v>
      </c>
      <c r="AG135" s="466" t="e">
        <f t="shared" si="22"/>
        <v>#N/A</v>
      </c>
    </row>
    <row r="136" spans="15:33">
      <c r="O136" s="35">
        <f t="shared" si="23"/>
        <v>145</v>
      </c>
      <c r="P136" s="556">
        <f>[1]!srIx2Val(Q$6,O136,1)</f>
        <v>0.6875</v>
      </c>
      <c r="Q136" s="559">
        <f>[1]!srIx2Val(Q$6,O136,5)</f>
        <v>3.61</v>
      </c>
      <c r="R136" s="554">
        <f t="shared" si="13"/>
        <v>-1.3900000000000001</v>
      </c>
      <c r="S136" s="465">
        <f>IF(R136&lt;=0,0,[1]!srRng2E(Q$6,R136))</f>
        <v>0</v>
      </c>
      <c r="T136" s="482" t="e">
        <f t="shared" si="14"/>
        <v>#N/A</v>
      </c>
      <c r="U136" s="466">
        <f t="shared" si="15"/>
        <v>0.6875</v>
      </c>
      <c r="V136" s="466" t="e">
        <f t="shared" si="16"/>
        <v>#N/A</v>
      </c>
      <c r="W136" s="466">
        <f t="shared" si="17"/>
        <v>27.5</v>
      </c>
      <c r="Y136" s="35">
        <f t="shared" si="24"/>
        <v>145</v>
      </c>
      <c r="Z136" s="556">
        <f>[1]!srIx2Val(AA$6,Y136,1)</f>
        <v>0.65476190476190477</v>
      </c>
      <c r="AA136" s="559">
        <f>[1]!srIx2Val(AA$6,Y136,5)</f>
        <v>11.73</v>
      </c>
      <c r="AB136" s="554">
        <f t="shared" si="18"/>
        <v>6.73</v>
      </c>
      <c r="AC136" s="465">
        <f>IF(AB136&lt;=0,0,[1]!srRng2E(AA$6,AB136))</f>
        <v>0.25645896656534956</v>
      </c>
      <c r="AD136" s="466">
        <f t="shared" si="19"/>
        <v>0.39830293819655521</v>
      </c>
      <c r="AE136" s="466" t="e">
        <f t="shared" si="20"/>
        <v>#N/A</v>
      </c>
      <c r="AF136" s="466">
        <f t="shared" si="21"/>
        <v>33.457446808510639</v>
      </c>
      <c r="AG136" s="466" t="e">
        <f t="shared" si="22"/>
        <v>#N/A</v>
      </c>
    </row>
    <row r="137" spans="15:33">
      <c r="O137" s="35">
        <f t="shared" si="23"/>
        <v>146</v>
      </c>
      <c r="P137" s="556">
        <f>[1]!srIx2Val(Q$6,O137,1)</f>
        <v>0.75</v>
      </c>
      <c r="Q137" s="559">
        <f>[1]!srIx2Val(Q$6,O137,5)</f>
        <v>3.8</v>
      </c>
      <c r="R137" s="554">
        <f t="shared" si="13"/>
        <v>-1.2000000000000002</v>
      </c>
      <c r="S137" s="465">
        <f>IF(R137&lt;=0,0,[1]!srRng2E(Q$6,R137))</f>
        <v>0</v>
      </c>
      <c r="T137" s="482" t="e">
        <f t="shared" si="14"/>
        <v>#N/A</v>
      </c>
      <c r="U137" s="466">
        <f t="shared" si="15"/>
        <v>0.75</v>
      </c>
      <c r="V137" s="466" t="e">
        <f t="shared" si="16"/>
        <v>#N/A</v>
      </c>
      <c r="W137" s="466">
        <f t="shared" si="17"/>
        <v>30</v>
      </c>
      <c r="Y137" s="35">
        <f t="shared" si="24"/>
        <v>146</v>
      </c>
      <c r="Z137" s="556">
        <f>[1]!srIx2Val(AA$6,Y137,1)</f>
        <v>0.7142857142857143</v>
      </c>
      <c r="AA137" s="559">
        <f>[1]!srIx2Val(AA$6,Y137,5)</f>
        <v>12.38</v>
      </c>
      <c r="AB137" s="554">
        <f t="shared" si="18"/>
        <v>7.3800000000000008</v>
      </c>
      <c r="AC137" s="465">
        <f>IF(AB137&lt;=0,0,[1]!srRng2E(AA$6,AB137))</f>
        <v>0.29974489795918374</v>
      </c>
      <c r="AD137" s="466">
        <f t="shared" si="19"/>
        <v>0.41454081632653056</v>
      </c>
      <c r="AE137" s="466" t="e">
        <f t="shared" si="20"/>
        <v>#N/A</v>
      </c>
      <c r="AF137" s="466">
        <f t="shared" si="21"/>
        <v>34.821428571428569</v>
      </c>
      <c r="AG137" s="466" t="e">
        <f t="shared" si="22"/>
        <v>#N/A</v>
      </c>
    </row>
    <row r="138" spans="15:33">
      <c r="O138" s="35">
        <f t="shared" si="23"/>
        <v>147</v>
      </c>
      <c r="P138" s="556">
        <f>[1]!srIx2Val(Q$6,O138,1)</f>
        <v>0.8125</v>
      </c>
      <c r="Q138" s="559">
        <f>[1]!srIx2Val(Q$6,O138,5)</f>
        <v>3.99</v>
      </c>
      <c r="R138" s="554">
        <f t="shared" si="13"/>
        <v>-1.0099999999999998</v>
      </c>
      <c r="S138" s="465">
        <f>IF(R138&lt;=0,0,[1]!srRng2E(Q$6,R138))</f>
        <v>0</v>
      </c>
      <c r="T138" s="482" t="e">
        <f t="shared" si="14"/>
        <v>#N/A</v>
      </c>
      <c r="U138" s="466">
        <f t="shared" si="15"/>
        <v>0.8125</v>
      </c>
      <c r="V138" s="466" t="e">
        <f t="shared" si="16"/>
        <v>#N/A</v>
      </c>
      <c r="W138" s="466">
        <f t="shared" si="17"/>
        <v>32.5</v>
      </c>
      <c r="Y138" s="35">
        <f t="shared" si="24"/>
        <v>147</v>
      </c>
      <c r="Z138" s="556">
        <f>[1]!srIx2Val(AA$6,Y138,1)</f>
        <v>0.77380952380952384</v>
      </c>
      <c r="AA138" s="559">
        <f>[1]!srIx2Val(AA$6,Y138,5)</f>
        <v>13.01</v>
      </c>
      <c r="AB138" s="554">
        <f t="shared" si="18"/>
        <v>8.01</v>
      </c>
      <c r="AC138" s="465">
        <f>IF(AB138&lt;=0,0,[1]!srRng2E(AA$6,AB138))</f>
        <v>0.34480255516840885</v>
      </c>
      <c r="AD138" s="466">
        <f t="shared" si="19"/>
        <v>0.42900696864111498</v>
      </c>
      <c r="AE138" s="466" t="e">
        <f t="shared" si="20"/>
        <v>#N/A</v>
      </c>
      <c r="AF138" s="466">
        <f t="shared" si="21"/>
        <v>36.036585365853661</v>
      </c>
      <c r="AG138" s="466" t="e">
        <f t="shared" si="22"/>
        <v>#N/A</v>
      </c>
    </row>
    <row r="139" spans="15:33">
      <c r="O139" s="35">
        <f t="shared" si="23"/>
        <v>148</v>
      </c>
      <c r="P139" s="556">
        <f>[1]!srIx2Val(Q$6,O139,1)</f>
        <v>0.875</v>
      </c>
      <c r="Q139" s="559">
        <f>[1]!srIx2Val(Q$6,O139,5)</f>
        <v>4.17</v>
      </c>
      <c r="R139" s="554">
        <f t="shared" ref="R139:R202" si="25">Q139-R$10</f>
        <v>-0.83000000000000007</v>
      </c>
      <c r="S139" s="465">
        <f>IF(R139&lt;=0,0,[1]!srRng2E(Q$6,R139))</f>
        <v>0</v>
      </c>
      <c r="T139" s="482" t="e">
        <f t="shared" si="14"/>
        <v>#N/A</v>
      </c>
      <c r="U139" s="466">
        <f t="shared" si="15"/>
        <v>0.875</v>
      </c>
      <c r="V139" s="466" t="e">
        <f t="shared" si="16"/>
        <v>#N/A</v>
      </c>
      <c r="W139" s="466">
        <f t="shared" si="17"/>
        <v>35</v>
      </c>
      <c r="Y139" s="35">
        <f t="shared" si="24"/>
        <v>148</v>
      </c>
      <c r="Z139" s="556">
        <f>[1]!srIx2Val(AA$6,Y139,1)</f>
        <v>0.83333333333333337</v>
      </c>
      <c r="AA139" s="559">
        <f>[1]!srIx2Val(AA$6,Y139,5)</f>
        <v>13.62</v>
      </c>
      <c r="AB139" s="554">
        <f t="shared" si="18"/>
        <v>8.6199999999999992</v>
      </c>
      <c r="AC139" s="465">
        <f>IF(AB139&lt;=0,0,[1]!srRng2E(AA$6,AB139))</f>
        <v>0.39072039072039066</v>
      </c>
      <c r="AD139" s="466">
        <f t="shared" si="19"/>
        <v>0.44261294261294271</v>
      </c>
      <c r="AE139" s="466" t="e">
        <f t="shared" si="20"/>
        <v>#N/A</v>
      </c>
      <c r="AF139" s="466">
        <f t="shared" si="21"/>
        <v>37.17948717948719</v>
      </c>
      <c r="AG139" s="466" t="e">
        <f t="shared" si="22"/>
        <v>#N/A</v>
      </c>
    </row>
    <row r="140" spans="15:33">
      <c r="O140" s="35">
        <f t="shared" si="23"/>
        <v>149</v>
      </c>
      <c r="P140" s="556">
        <f>[1]!srIx2Val(Q$6,O140,1)</f>
        <v>0.9375</v>
      </c>
      <c r="Q140" s="559">
        <f>[1]!srIx2Val(Q$6,O140,5)</f>
        <v>4.3499999999999996</v>
      </c>
      <c r="R140" s="554">
        <f t="shared" si="25"/>
        <v>-0.65000000000000036</v>
      </c>
      <c r="S140" s="465">
        <f>IF(R140&lt;=0,0,[1]!srRng2E(Q$6,R140))</f>
        <v>0</v>
      </c>
      <c r="T140" s="482" t="e">
        <f t="shared" ref="T140:T203" si="26">IF((R140&lt;=0),NA(),P140-S140)</f>
        <v>#N/A</v>
      </c>
      <c r="U140" s="466">
        <f t="shared" ref="U140:U203" si="27">IF((R140&lt;=0),P140-S140,NA())</f>
        <v>0.9375</v>
      </c>
      <c r="V140" s="466" t="e">
        <f t="shared" ref="V140:V203" si="28">IF((R140&lt;0),NA(),T140*V$6)</f>
        <v>#N/A</v>
      </c>
      <c r="W140" s="466">
        <f t="shared" ref="W140:W203" si="29">IF((R140&lt;0),U140*V$6,NA())</f>
        <v>37.5</v>
      </c>
      <c r="Y140" s="35">
        <f t="shared" si="24"/>
        <v>149</v>
      </c>
      <c r="Z140" s="556">
        <f>[1]!srIx2Val(AA$6,Y140,1)</f>
        <v>0.95238095238095233</v>
      </c>
      <c r="AA140" s="559">
        <f>[1]!srIx2Val(AA$6,Y140,5)</f>
        <v>14.83</v>
      </c>
      <c r="AB140" s="554">
        <f t="shared" ref="AB140:AB203" si="30">AA140-AB$10</f>
        <v>9.83</v>
      </c>
      <c r="AC140" s="465">
        <f>IF(AB140&lt;=0,0,[1]!srRng2E(AA$6,AB140))</f>
        <v>0.48792756539235416</v>
      </c>
      <c r="AD140" s="466">
        <f t="shared" ref="AD140:AD203" si="31">IF((AB140&lt;=0),NA(),Z140-AC140)</f>
        <v>0.46445338698859817</v>
      </c>
      <c r="AE140" s="466" t="e">
        <f t="shared" ref="AE140:AE203" si="32">IF((AB140&lt;=0),Z140-AC140,NA())</f>
        <v>#N/A</v>
      </c>
      <c r="AF140" s="466">
        <f t="shared" ref="AF140:AF203" si="33">IF((AB140&lt;0),NA(),AD140*AF$6)</f>
        <v>39.014084507042249</v>
      </c>
      <c r="AG140" s="466" t="e">
        <f t="shared" ref="AG140:AG203" si="34">IF((AB140&lt;0),AE140*AF$6,NA())</f>
        <v>#N/A</v>
      </c>
    </row>
    <row r="141" spans="15:33">
      <c r="O141" s="35">
        <f t="shared" ref="O141:O204" si="35">O140+1</f>
        <v>150</v>
      </c>
      <c r="P141" s="466">
        <f>[1]!srIx2Val(Q$6,O141,1)</f>
        <v>1</v>
      </c>
      <c r="Q141" s="493">
        <f>[1]!srIx2Val(Q$6,O141,5)</f>
        <v>4.53</v>
      </c>
      <c r="R141" s="554">
        <f t="shared" si="25"/>
        <v>-0.46999999999999975</v>
      </c>
      <c r="S141" s="465">
        <f>IF(R141&lt;=0,0,[1]!srRng2E(Q$6,R141))</f>
        <v>0</v>
      </c>
      <c r="T141" s="482" t="e">
        <f t="shared" si="26"/>
        <v>#N/A</v>
      </c>
      <c r="U141" s="466">
        <f t="shared" si="27"/>
        <v>1</v>
      </c>
      <c r="V141" s="466" t="e">
        <f t="shared" si="28"/>
        <v>#N/A</v>
      </c>
      <c r="W141" s="466">
        <f t="shared" si="29"/>
        <v>40</v>
      </c>
      <c r="Y141" s="35">
        <f t="shared" si="24"/>
        <v>150</v>
      </c>
      <c r="Z141" s="466">
        <f>[1]!srIx2Val(AA$6,Y141,1)</f>
        <v>1.0714285714285714</v>
      </c>
      <c r="AA141" s="572">
        <f>[1]!srIx2Val(AA$6,Y141,5)</f>
        <v>16</v>
      </c>
      <c r="AB141" s="554">
        <f t="shared" si="30"/>
        <v>11</v>
      </c>
      <c r="AC141" s="465">
        <f>IF(AB141&lt;=0,0,[1]!srRng2E(AA$6,AB141))</f>
        <v>0.58823529411764708</v>
      </c>
      <c r="AD141" s="466">
        <f t="shared" si="31"/>
        <v>0.48319327731092432</v>
      </c>
      <c r="AE141" s="466" t="e">
        <f t="shared" si="32"/>
        <v>#N/A</v>
      </c>
      <c r="AF141" s="466">
        <f t="shared" si="33"/>
        <v>40.588235294117645</v>
      </c>
      <c r="AG141" s="466" t="e">
        <f t="shared" si="34"/>
        <v>#N/A</v>
      </c>
    </row>
    <row r="142" spans="15:33">
      <c r="O142" s="35">
        <f t="shared" si="35"/>
        <v>151</v>
      </c>
      <c r="P142" s="466">
        <f>[1]!srIx2Val(Q$6,O142,1)</f>
        <v>1.125</v>
      </c>
      <c r="Q142" s="493">
        <f>[1]!srIx2Val(Q$6,O142,5)</f>
        <v>4.8899999999999997</v>
      </c>
      <c r="R142" s="554">
        <f t="shared" si="25"/>
        <v>-0.11000000000000032</v>
      </c>
      <c r="S142" s="465">
        <f>IF(R142&lt;=0,0,[1]!srRng2E(Q$6,R142))</f>
        <v>0</v>
      </c>
      <c r="T142" s="482" t="e">
        <f t="shared" si="26"/>
        <v>#N/A</v>
      </c>
      <c r="U142" s="466">
        <f t="shared" si="27"/>
        <v>1.125</v>
      </c>
      <c r="V142" s="466" t="e">
        <f t="shared" si="28"/>
        <v>#N/A</v>
      </c>
      <c r="W142" s="466">
        <f t="shared" si="29"/>
        <v>45</v>
      </c>
      <c r="Y142" s="35">
        <f t="shared" si="24"/>
        <v>151</v>
      </c>
      <c r="Z142" s="466">
        <f>[1]!srIx2Val(AA$6,Y142,1)</f>
        <v>1.1904761904761905</v>
      </c>
      <c r="AA142" s="572">
        <f>[1]!srIx2Val(AA$6,Y142,5)</f>
        <v>17.14</v>
      </c>
      <c r="AB142" s="554">
        <f t="shared" si="30"/>
        <v>12.14</v>
      </c>
      <c r="AC142" s="465">
        <f>IF(AB142&lt;=0,0,[1]!srRng2E(AA$6,AB142))</f>
        <v>0.69230769230769229</v>
      </c>
      <c r="AD142" s="466">
        <f t="shared" si="31"/>
        <v>0.49816849816849818</v>
      </c>
      <c r="AE142" s="466" t="e">
        <f t="shared" si="32"/>
        <v>#N/A</v>
      </c>
      <c r="AF142" s="466">
        <f t="shared" si="33"/>
        <v>41.846153846153847</v>
      </c>
      <c r="AG142" s="466" t="e">
        <f t="shared" si="34"/>
        <v>#N/A</v>
      </c>
    </row>
    <row r="143" spans="15:33">
      <c r="O143" s="35">
        <f t="shared" si="35"/>
        <v>152</v>
      </c>
      <c r="P143" s="466">
        <f>[1]!srIx2Val(Q$6,O143,1)</f>
        <v>1.25</v>
      </c>
      <c r="Q143" s="493">
        <f>[1]!srIx2Val(Q$6,O143,5)</f>
        <v>5.25</v>
      </c>
      <c r="R143" s="554">
        <f t="shared" si="25"/>
        <v>0.25</v>
      </c>
      <c r="S143" s="465">
        <f>IF(R143&lt;=0,0,[1]!srRng2E(Q$6,R143))</f>
        <v>1.9661538461538459E-2</v>
      </c>
      <c r="T143" s="482">
        <f t="shared" si="26"/>
        <v>1.2303384615384616</v>
      </c>
      <c r="U143" s="466" t="e">
        <f t="shared" si="27"/>
        <v>#N/A</v>
      </c>
      <c r="V143" s="466">
        <f t="shared" si="28"/>
        <v>49.213538461538462</v>
      </c>
      <c r="W143" s="466" t="e">
        <f t="shared" si="29"/>
        <v>#N/A</v>
      </c>
      <c r="Y143" s="35">
        <f t="shared" si="24"/>
        <v>152</v>
      </c>
      <c r="Z143" s="466">
        <f>[1]!srIx2Val(AA$6,Y143,1)</f>
        <v>1.3095238095238095</v>
      </c>
      <c r="AA143" s="572">
        <f>[1]!srIx2Val(AA$6,Y143,5)</f>
        <v>18.27</v>
      </c>
      <c r="AB143" s="554">
        <f t="shared" si="30"/>
        <v>13.27</v>
      </c>
      <c r="AC143" s="465">
        <f>IF(AB143&lt;=0,0,[1]!srRng2E(AA$6,AB143))</f>
        <v>0.79918032786885251</v>
      </c>
      <c r="AD143" s="466">
        <f t="shared" si="31"/>
        <v>0.51034348165495702</v>
      </c>
      <c r="AE143" s="466" t="e">
        <f t="shared" si="32"/>
        <v>#N/A</v>
      </c>
      <c r="AF143" s="466">
        <f t="shared" si="33"/>
        <v>42.868852459016388</v>
      </c>
      <c r="AG143" s="466" t="e">
        <f t="shared" si="34"/>
        <v>#N/A</v>
      </c>
    </row>
    <row r="144" spans="15:33">
      <c r="O144" s="35">
        <f t="shared" si="35"/>
        <v>153</v>
      </c>
      <c r="P144" s="466">
        <f>[1]!srIx2Val(Q$6,O144,1)</f>
        <v>1.375</v>
      </c>
      <c r="Q144" s="493">
        <f>[1]!srIx2Val(Q$6,O144,5)</f>
        <v>5.6</v>
      </c>
      <c r="R144" s="554">
        <f t="shared" si="25"/>
        <v>0.59999999999999964</v>
      </c>
      <c r="S144" s="465">
        <f>IF(R144&lt;=0,0,[1]!srRng2E(Q$6,R144))</f>
        <v>4.949907235621518E-2</v>
      </c>
      <c r="T144" s="482">
        <f t="shared" si="26"/>
        <v>1.3255009276437848</v>
      </c>
      <c r="U144" s="466" t="e">
        <f t="shared" si="27"/>
        <v>#N/A</v>
      </c>
      <c r="V144" s="466">
        <f t="shared" si="28"/>
        <v>53.020037105751392</v>
      </c>
      <c r="W144" s="466" t="e">
        <f t="shared" si="29"/>
        <v>#N/A</v>
      </c>
      <c r="Y144" s="35">
        <f t="shared" si="24"/>
        <v>153</v>
      </c>
      <c r="Z144" s="466">
        <f>[1]!srIx2Val(AA$6,Y144,1)</f>
        <v>1.4285714285714286</v>
      </c>
      <c r="AA144" s="572">
        <f>[1]!srIx2Val(AA$6,Y144,5)</f>
        <v>19.38</v>
      </c>
      <c r="AB144" s="554">
        <f t="shared" si="30"/>
        <v>14.379999999999999</v>
      </c>
      <c r="AC144" s="465">
        <f>IF(AB144&lt;=0,0,[1]!srRng2E(AA$6,AB144))</f>
        <v>0.90810704447068069</v>
      </c>
      <c r="AD144" s="466">
        <f t="shared" si="31"/>
        <v>0.52046438410074791</v>
      </c>
      <c r="AE144" s="466" t="e">
        <f t="shared" si="32"/>
        <v>#N/A</v>
      </c>
      <c r="AF144" s="466">
        <f t="shared" si="33"/>
        <v>43.719008264462822</v>
      </c>
      <c r="AG144" s="466" t="e">
        <f t="shared" si="34"/>
        <v>#N/A</v>
      </c>
    </row>
    <row r="145" spans="15:33">
      <c r="O145" s="35">
        <f t="shared" si="35"/>
        <v>154</v>
      </c>
      <c r="P145" s="466">
        <f>[1]!srIx2Val(Q$6,O145,1)</f>
        <v>1.5</v>
      </c>
      <c r="Q145" s="493">
        <f>[1]!srIx2Val(Q$6,O145,5)</f>
        <v>5.95</v>
      </c>
      <c r="R145" s="554">
        <f t="shared" si="25"/>
        <v>0.95000000000000018</v>
      </c>
      <c r="S145" s="465">
        <f>IF(R145&lt;=0,0,[1]!srRng2E(Q$6,R145))</f>
        <v>8.5806818181818206E-2</v>
      </c>
      <c r="T145" s="482">
        <f t="shared" si="26"/>
        <v>1.4141931818181819</v>
      </c>
      <c r="U145" s="466" t="e">
        <f t="shared" si="27"/>
        <v>#N/A</v>
      </c>
      <c r="V145" s="466">
        <f t="shared" si="28"/>
        <v>56.567727272727275</v>
      </c>
      <c r="W145" s="466" t="e">
        <f t="shared" si="29"/>
        <v>#N/A</v>
      </c>
      <c r="Y145" s="35">
        <f t="shared" si="24"/>
        <v>154</v>
      </c>
      <c r="Z145" s="466">
        <f>[1]!srIx2Val(AA$6,Y145,1)</f>
        <v>1.5476190476190477</v>
      </c>
      <c r="AA145" s="572">
        <f>[1]!srIx2Val(AA$6,Y145,5)</f>
        <v>20.47</v>
      </c>
      <c r="AB145" s="554">
        <f t="shared" si="30"/>
        <v>15.469999999999999</v>
      </c>
      <c r="AC145" s="465">
        <f>IF(AB145&lt;=0,0,[1]!srRng2E(AA$6,AB145))</f>
        <v>1.0175010175010173</v>
      </c>
      <c r="AD145" s="466">
        <f t="shared" si="31"/>
        <v>0.53011803011803038</v>
      </c>
      <c r="AE145" s="466" t="e">
        <f t="shared" si="32"/>
        <v>#N/A</v>
      </c>
      <c r="AF145" s="466">
        <f t="shared" si="33"/>
        <v>44.529914529914549</v>
      </c>
      <c r="AG145" s="466" t="e">
        <f t="shared" si="34"/>
        <v>#N/A</v>
      </c>
    </row>
    <row r="146" spans="15:33">
      <c r="O146" s="35">
        <f t="shared" si="35"/>
        <v>155</v>
      </c>
      <c r="P146" s="466">
        <f>[1]!srIx2Val(Q$6,O146,1)</f>
        <v>1.625</v>
      </c>
      <c r="Q146" s="493">
        <f>[1]!srIx2Val(Q$6,O146,5)</f>
        <v>6.3</v>
      </c>
      <c r="R146" s="554">
        <f t="shared" si="25"/>
        <v>1.2999999999999998</v>
      </c>
      <c r="S146" s="465">
        <f>IF(R146&lt;=0,0,[1]!srRng2E(Q$6,R146))</f>
        <v>0.13055555555555554</v>
      </c>
      <c r="T146" s="482">
        <f t="shared" si="26"/>
        <v>1.4944444444444445</v>
      </c>
      <c r="U146" s="466" t="e">
        <f t="shared" si="27"/>
        <v>#N/A</v>
      </c>
      <c r="V146" s="466">
        <f t="shared" si="28"/>
        <v>59.777777777777779</v>
      </c>
      <c r="W146" s="466" t="e">
        <f t="shared" si="29"/>
        <v>#N/A</v>
      </c>
      <c r="Y146" s="35">
        <f t="shared" si="24"/>
        <v>155</v>
      </c>
      <c r="Z146" s="466">
        <f>[1]!srIx2Val(AA$6,Y146,1)</f>
        <v>1.6666666666666667</v>
      </c>
      <c r="AA146" s="572">
        <f>[1]!srIx2Val(AA$6,Y146,5)</f>
        <v>21.56</v>
      </c>
      <c r="AB146" s="554">
        <f t="shared" si="30"/>
        <v>16.559999999999999</v>
      </c>
      <c r="AC146" s="465">
        <f>IF(AB146&lt;=0,0,[1]!srRng2E(AA$6,AB146))</f>
        <v>1.129908103592314</v>
      </c>
      <c r="AD146" s="466">
        <f t="shared" si="31"/>
        <v>0.53675856307435277</v>
      </c>
      <c r="AE146" s="466" t="e">
        <f t="shared" si="32"/>
        <v>#N/A</v>
      </c>
      <c r="AF146" s="466">
        <f t="shared" si="33"/>
        <v>45.087719298245631</v>
      </c>
      <c r="AG146" s="466" t="e">
        <f t="shared" si="34"/>
        <v>#N/A</v>
      </c>
    </row>
    <row r="147" spans="15:33">
      <c r="O147" s="35">
        <f t="shared" si="35"/>
        <v>156</v>
      </c>
      <c r="P147" s="466">
        <f>[1]!srIx2Val(Q$6,O147,1)</f>
        <v>1.75</v>
      </c>
      <c r="Q147" s="493">
        <f>[1]!srIx2Val(Q$6,O147,5)</f>
        <v>6.66</v>
      </c>
      <c r="R147" s="554">
        <f t="shared" si="25"/>
        <v>1.6600000000000001</v>
      </c>
      <c r="S147" s="465">
        <f>IF(R147&lt;=0,0,[1]!srRng2E(Q$6,R147))</f>
        <v>0.18666666666666668</v>
      </c>
      <c r="T147" s="482">
        <f t="shared" si="26"/>
        <v>1.5633333333333332</v>
      </c>
      <c r="U147" s="466" t="e">
        <f t="shared" si="27"/>
        <v>#N/A</v>
      </c>
      <c r="V147" s="466">
        <f t="shared" si="28"/>
        <v>62.533333333333331</v>
      </c>
      <c r="W147" s="466" t="e">
        <f t="shared" si="29"/>
        <v>#N/A</v>
      </c>
      <c r="Y147" s="35">
        <f t="shared" si="24"/>
        <v>156</v>
      </c>
      <c r="Z147" s="466">
        <f>[1]!srIx2Val(AA$6,Y147,1)</f>
        <v>1.7857142857142858</v>
      </c>
      <c r="AA147" s="572">
        <f>[1]!srIx2Val(AA$6,Y147,5)</f>
        <v>22.63</v>
      </c>
      <c r="AB147" s="554">
        <f t="shared" si="30"/>
        <v>17.63</v>
      </c>
      <c r="AC147" s="465">
        <f>IF(AB147&lt;=0,0,[1]!srRng2E(AA$6,AB147))</f>
        <v>1.2420986093552464</v>
      </c>
      <c r="AD147" s="466">
        <f t="shared" si="31"/>
        <v>0.5436156763590394</v>
      </c>
      <c r="AE147" s="466" t="e">
        <f t="shared" si="32"/>
        <v>#N/A</v>
      </c>
      <c r="AF147" s="466">
        <f t="shared" si="33"/>
        <v>45.663716814159308</v>
      </c>
      <c r="AG147" s="466" t="e">
        <f t="shared" si="34"/>
        <v>#N/A</v>
      </c>
    </row>
    <row r="148" spans="15:33">
      <c r="O148" s="35">
        <f t="shared" si="35"/>
        <v>157</v>
      </c>
      <c r="P148" s="466">
        <f>[1]!srIx2Val(Q$6,O148,1)</f>
        <v>2</v>
      </c>
      <c r="Q148" s="493">
        <f>[1]!srIx2Val(Q$6,O148,5)</f>
        <v>7.37</v>
      </c>
      <c r="R148" s="554">
        <f t="shared" si="25"/>
        <v>2.37</v>
      </c>
      <c r="S148" s="465">
        <f>IF(R148&lt;=0,0,[1]!srRng2E(Q$6,R148))</f>
        <v>0.33250000000000007</v>
      </c>
      <c r="T148" s="482">
        <f t="shared" si="26"/>
        <v>1.6675</v>
      </c>
      <c r="U148" s="466" t="e">
        <f t="shared" si="27"/>
        <v>#N/A</v>
      </c>
      <c r="V148" s="466">
        <f t="shared" si="28"/>
        <v>66.7</v>
      </c>
      <c r="W148" s="466" t="e">
        <f t="shared" si="29"/>
        <v>#N/A</v>
      </c>
      <c r="Y148" s="35">
        <f t="shared" si="24"/>
        <v>157</v>
      </c>
      <c r="Z148" s="466">
        <f>[1]!srIx2Val(AA$6,Y148,1)</f>
        <v>1.9047619047619047</v>
      </c>
      <c r="AA148" s="572">
        <f>[1]!srIx2Val(AA$6,Y148,5)</f>
        <v>23.7</v>
      </c>
      <c r="AB148" s="554">
        <f t="shared" si="30"/>
        <v>18.7</v>
      </c>
      <c r="AC148" s="465">
        <f>IF(AB148&lt;=0,0,[1]!srRng2E(AA$6,AB148))</f>
        <v>1.3556413556413556</v>
      </c>
      <c r="AD148" s="466">
        <f t="shared" si="31"/>
        <v>0.54912054912054908</v>
      </c>
      <c r="AE148" s="466" t="e">
        <f t="shared" si="32"/>
        <v>#N/A</v>
      </c>
      <c r="AF148" s="466">
        <f t="shared" si="33"/>
        <v>46.126126126126124</v>
      </c>
      <c r="AG148" s="466" t="e">
        <f t="shared" si="34"/>
        <v>#N/A</v>
      </c>
    </row>
    <row r="149" spans="15:33">
      <c r="O149" s="35">
        <f t="shared" si="35"/>
        <v>158</v>
      </c>
      <c r="P149" s="466">
        <f>[1]!srIx2Val(Q$6,O149,1)</f>
        <v>2.25</v>
      </c>
      <c r="Q149" s="493">
        <f>[1]!srIx2Val(Q$6,O149,5)</f>
        <v>8.09</v>
      </c>
      <c r="R149" s="554">
        <f t="shared" si="25"/>
        <v>3.09</v>
      </c>
      <c r="S149" s="465">
        <f>IF(R149&lt;=0,0,[1]!srRng2E(Q$6,R149))</f>
        <v>0.5267857142857143</v>
      </c>
      <c r="T149" s="482">
        <f t="shared" si="26"/>
        <v>1.7232142857142856</v>
      </c>
      <c r="U149" s="466" t="e">
        <f t="shared" si="27"/>
        <v>#N/A</v>
      </c>
      <c r="V149" s="466">
        <f t="shared" si="28"/>
        <v>68.928571428571416</v>
      </c>
      <c r="W149" s="466" t="e">
        <f t="shared" si="29"/>
        <v>#N/A</v>
      </c>
      <c r="Y149" s="35">
        <f t="shared" si="24"/>
        <v>158</v>
      </c>
      <c r="Z149" s="466">
        <f>[1]!srIx2Val(AA$6,Y149,1)</f>
        <v>2.0238095238095237</v>
      </c>
      <c r="AA149" s="572">
        <f>[1]!srIx2Val(AA$6,Y149,5)</f>
        <v>24.76</v>
      </c>
      <c r="AB149" s="554">
        <f t="shared" si="30"/>
        <v>19.760000000000002</v>
      </c>
      <c r="AC149" s="465">
        <f>IF(AB149&lt;=0,0,[1]!srRng2E(AA$6,AB149))</f>
        <v>1.4700742682394061</v>
      </c>
      <c r="AD149" s="466">
        <f t="shared" si="31"/>
        <v>0.5537352555701176</v>
      </c>
      <c r="AE149" s="466" t="e">
        <f t="shared" si="32"/>
        <v>#N/A</v>
      </c>
      <c r="AF149" s="466">
        <f t="shared" si="33"/>
        <v>46.513761467889879</v>
      </c>
      <c r="AG149" s="466" t="e">
        <f t="shared" si="34"/>
        <v>#N/A</v>
      </c>
    </row>
    <row r="150" spans="15:33">
      <c r="O150" s="35">
        <f t="shared" si="35"/>
        <v>159</v>
      </c>
      <c r="P150" s="466">
        <f>[1]!srIx2Val(Q$6,O150,1)</f>
        <v>2.5</v>
      </c>
      <c r="Q150" s="493">
        <f>[1]!srIx2Val(Q$6,O150,5)</f>
        <v>8.82</v>
      </c>
      <c r="R150" s="554">
        <f t="shared" si="25"/>
        <v>3.8200000000000003</v>
      </c>
      <c r="S150" s="465">
        <f>IF(R150&lt;=0,0,[1]!srRng2E(Q$6,R150))</f>
        <v>0.75657894736842124</v>
      </c>
      <c r="T150" s="482">
        <f t="shared" si="26"/>
        <v>1.7434210526315788</v>
      </c>
      <c r="U150" s="466" t="e">
        <f t="shared" si="27"/>
        <v>#N/A</v>
      </c>
      <c r="V150" s="466">
        <f t="shared" si="28"/>
        <v>69.73684210526315</v>
      </c>
      <c r="W150" s="466" t="e">
        <f t="shared" si="29"/>
        <v>#N/A</v>
      </c>
      <c r="Y150" s="35">
        <f t="shared" ref="Y150:Y213" si="36">Y149+1</f>
        <v>159</v>
      </c>
      <c r="Z150" s="466">
        <f>[1]!srIx2Val(AA$6,Y150,1)</f>
        <v>2.1428571428571428</v>
      </c>
      <c r="AA150" s="572">
        <f>[1]!srIx2Val(AA$6,Y150,5)</f>
        <v>25.81</v>
      </c>
      <c r="AB150" s="554">
        <f t="shared" si="30"/>
        <v>20.81</v>
      </c>
      <c r="AC150" s="465">
        <f>IF(AB150&lt;=0,0,[1]!srRng2E(AA$6,AB150))</f>
        <v>1.5847531673219748</v>
      </c>
      <c r="AD150" s="466">
        <f t="shared" si="31"/>
        <v>0.558103975535168</v>
      </c>
      <c r="AE150" s="466" t="e">
        <f t="shared" si="32"/>
        <v>#N/A</v>
      </c>
      <c r="AF150" s="466">
        <f t="shared" si="33"/>
        <v>46.880733944954109</v>
      </c>
      <c r="AG150" s="466" t="e">
        <f t="shared" si="34"/>
        <v>#N/A</v>
      </c>
    </row>
    <row r="151" spans="15:33">
      <c r="O151" s="35">
        <f t="shared" si="35"/>
        <v>160</v>
      </c>
      <c r="P151" s="466">
        <f>[1]!srIx2Val(Q$6,O151,1)</f>
        <v>2.75</v>
      </c>
      <c r="Q151" s="493">
        <f>[1]!srIx2Val(Q$6,O151,5)</f>
        <v>9.56</v>
      </c>
      <c r="R151" s="554">
        <f t="shared" si="25"/>
        <v>4.5600000000000005</v>
      </c>
      <c r="S151" s="465">
        <f>IF(R151&lt;=0,0,[1]!srRng2E(Q$6,R151))</f>
        <v>1.0104166666666667</v>
      </c>
      <c r="T151" s="482">
        <f t="shared" si="26"/>
        <v>1.7395833333333333</v>
      </c>
      <c r="U151" s="466" t="e">
        <f t="shared" si="27"/>
        <v>#N/A</v>
      </c>
      <c r="V151" s="466">
        <f t="shared" si="28"/>
        <v>69.583333333333329</v>
      </c>
      <c r="W151" s="466" t="e">
        <f t="shared" si="29"/>
        <v>#N/A</v>
      </c>
      <c r="Y151" s="35">
        <f t="shared" si="36"/>
        <v>160</v>
      </c>
      <c r="Z151" s="466">
        <f>[1]!srIx2Val(AA$6,Y151,1)</f>
        <v>2.3809523809523809</v>
      </c>
      <c r="AA151" s="572">
        <f>[1]!srIx2Val(AA$6,Y151,5)</f>
        <v>27.91</v>
      </c>
      <c r="AB151" s="554">
        <f t="shared" si="30"/>
        <v>22.91</v>
      </c>
      <c r="AC151" s="465">
        <f>IF(AB151&lt;=0,0,[1]!srRng2E(AA$6,AB151))</f>
        <v>1.8168669336893637</v>
      </c>
      <c r="AD151" s="466">
        <f t="shared" si="31"/>
        <v>0.56408544726301724</v>
      </c>
      <c r="AE151" s="466" t="e">
        <f t="shared" si="32"/>
        <v>#N/A</v>
      </c>
      <c r="AF151" s="466">
        <f t="shared" si="33"/>
        <v>47.383177570093451</v>
      </c>
      <c r="AG151" s="466" t="e">
        <f t="shared" si="34"/>
        <v>#N/A</v>
      </c>
    </row>
    <row r="152" spans="15:33">
      <c r="O152" s="35">
        <f t="shared" si="35"/>
        <v>161</v>
      </c>
      <c r="P152" s="466">
        <f>[1]!srIx2Val(Q$6,O152,1)</f>
        <v>3</v>
      </c>
      <c r="Q152" s="493">
        <f>[1]!srIx2Val(Q$6,O152,5)</f>
        <v>10.3</v>
      </c>
      <c r="R152" s="554">
        <f t="shared" si="25"/>
        <v>5.3000000000000007</v>
      </c>
      <c r="S152" s="465">
        <f>IF(R152&lt;=0,0,[1]!srRng2E(Q$6,R152))</f>
        <v>1.2678571428571432</v>
      </c>
      <c r="T152" s="482">
        <f t="shared" si="26"/>
        <v>1.7321428571428568</v>
      </c>
      <c r="U152" s="466" t="e">
        <f t="shared" si="27"/>
        <v>#N/A</v>
      </c>
      <c r="V152" s="466">
        <f t="shared" si="28"/>
        <v>69.285714285714278</v>
      </c>
      <c r="W152" s="466" t="e">
        <f t="shared" si="29"/>
        <v>#N/A</v>
      </c>
      <c r="Y152" s="35">
        <f t="shared" si="36"/>
        <v>161</v>
      </c>
      <c r="Z152" s="466">
        <f>[1]!srIx2Val(AA$6,Y152,1)</f>
        <v>2.6785714285714284</v>
      </c>
      <c r="AA152" s="572">
        <f>[1]!srIx2Val(AA$6,Y152,5)</f>
        <v>30.55</v>
      </c>
      <c r="AB152" s="554">
        <f t="shared" si="30"/>
        <v>25.55</v>
      </c>
      <c r="AC152" s="465">
        <f>IF(AB152&lt;=0,0,[1]!srRng2E(AA$6,AB152))</f>
        <v>2.1133786848072562</v>
      </c>
      <c r="AD152" s="466">
        <f t="shared" si="31"/>
        <v>0.56519274376417217</v>
      </c>
      <c r="AE152" s="466" t="e">
        <f t="shared" si="32"/>
        <v>#N/A</v>
      </c>
      <c r="AF152" s="466">
        <f t="shared" si="33"/>
        <v>47.47619047619046</v>
      </c>
      <c r="AG152" s="466" t="e">
        <f t="shared" si="34"/>
        <v>#N/A</v>
      </c>
    </row>
    <row r="153" spans="15:33">
      <c r="O153" s="35">
        <f t="shared" si="35"/>
        <v>162</v>
      </c>
      <c r="P153" s="466">
        <f>[1]!srIx2Val(Q$6,O153,1)</f>
        <v>3.25</v>
      </c>
      <c r="Q153" s="493">
        <f>[1]!srIx2Val(Q$6,O153,5)</f>
        <v>11.06</v>
      </c>
      <c r="R153" s="554">
        <f t="shared" si="25"/>
        <v>6.0600000000000005</v>
      </c>
      <c r="S153" s="465">
        <f>IF(R153&lt;=0,0,[1]!srRng2E(Q$6,R153))</f>
        <v>1.5392857142857144</v>
      </c>
      <c r="T153" s="482">
        <f t="shared" si="26"/>
        <v>1.7107142857142856</v>
      </c>
      <c r="U153" s="466" t="e">
        <f t="shared" si="27"/>
        <v>#N/A</v>
      </c>
      <c r="V153" s="466">
        <f t="shared" si="28"/>
        <v>68.428571428571431</v>
      </c>
      <c r="W153" s="466" t="e">
        <f t="shared" si="29"/>
        <v>#N/A</v>
      </c>
      <c r="Y153" s="35">
        <f t="shared" si="36"/>
        <v>162</v>
      </c>
      <c r="Z153" s="466">
        <f>[1]!srIx2Val(AA$6,Y153,1)</f>
        <v>2.9761904761904763</v>
      </c>
      <c r="AA153" s="572">
        <f>[1]!srIx2Val(AA$6,Y153,5)</f>
        <v>33.19</v>
      </c>
      <c r="AB153" s="554">
        <f t="shared" si="30"/>
        <v>28.189999999999998</v>
      </c>
      <c r="AC153" s="465">
        <f>IF(AB153&lt;=0,0,[1]!srRng2E(AA$6,AB153))</f>
        <v>2.4125180375180371</v>
      </c>
      <c r="AD153" s="466">
        <f t="shared" si="31"/>
        <v>0.56367243867243921</v>
      </c>
      <c r="AE153" s="466" t="e">
        <f t="shared" si="32"/>
        <v>#N/A</v>
      </c>
      <c r="AF153" s="466">
        <f t="shared" si="33"/>
        <v>47.348484848484894</v>
      </c>
      <c r="AG153" s="466" t="e">
        <f t="shared" si="34"/>
        <v>#N/A</v>
      </c>
    </row>
    <row r="154" spans="15:33">
      <c r="O154" s="35">
        <f t="shared" si="35"/>
        <v>163</v>
      </c>
      <c r="P154" s="466">
        <f>[1]!srIx2Val(Q$6,O154,1)</f>
        <v>3.5</v>
      </c>
      <c r="Q154" s="493">
        <f>[1]!srIx2Val(Q$6,O154,5)</f>
        <v>11.84</v>
      </c>
      <c r="R154" s="554">
        <f t="shared" si="25"/>
        <v>6.84</v>
      </c>
      <c r="S154" s="465">
        <f>IF(R154&lt;=0,0,[1]!srRng2E(Q$6,R154))</f>
        <v>1.8133802816901408</v>
      </c>
      <c r="T154" s="482">
        <f t="shared" si="26"/>
        <v>1.6866197183098592</v>
      </c>
      <c r="U154" s="466" t="e">
        <f t="shared" si="27"/>
        <v>#N/A</v>
      </c>
      <c r="V154" s="466">
        <f t="shared" si="28"/>
        <v>67.464788732394368</v>
      </c>
      <c r="W154" s="466" t="e">
        <f t="shared" si="29"/>
        <v>#N/A</v>
      </c>
      <c r="Y154" s="35">
        <f t="shared" si="36"/>
        <v>163</v>
      </c>
      <c r="Z154" s="466">
        <f>[1]!srIx2Val(AA$6,Y154,1)</f>
        <v>3.2738095238095237</v>
      </c>
      <c r="AA154" s="572">
        <f>[1]!srIx2Val(AA$6,Y154,5)</f>
        <v>35.840000000000003</v>
      </c>
      <c r="AB154" s="554">
        <f t="shared" si="30"/>
        <v>30.840000000000003</v>
      </c>
      <c r="AC154" s="465">
        <f>IF(AB154&lt;=0,0,[1]!srRng2E(AA$6,AB154))</f>
        <v>2.7112644300144302</v>
      </c>
      <c r="AD154" s="466">
        <f t="shared" si="31"/>
        <v>0.56254509379509354</v>
      </c>
      <c r="AE154" s="466" t="e">
        <f t="shared" si="32"/>
        <v>#N/A</v>
      </c>
      <c r="AF154" s="466">
        <f t="shared" si="33"/>
        <v>47.253787878787861</v>
      </c>
      <c r="AG154" s="466" t="e">
        <f t="shared" si="34"/>
        <v>#N/A</v>
      </c>
    </row>
    <row r="155" spans="15:33">
      <c r="O155" s="35">
        <f t="shared" si="35"/>
        <v>164</v>
      </c>
      <c r="P155" s="466">
        <f>[1]!srIx2Val(Q$6,O155,1)</f>
        <v>3.75</v>
      </c>
      <c r="Q155" s="493">
        <f>[1]!srIx2Val(Q$6,O155,5)</f>
        <v>12.62</v>
      </c>
      <c r="R155" s="554">
        <f t="shared" si="25"/>
        <v>7.6199999999999992</v>
      </c>
      <c r="S155" s="465">
        <f>IF(R155&lt;=0,0,[1]!srRng2E(Q$6,R155))</f>
        <v>2.0868055555555554</v>
      </c>
      <c r="T155" s="482">
        <f t="shared" si="26"/>
        <v>1.6631944444444446</v>
      </c>
      <c r="U155" s="466" t="e">
        <f t="shared" si="27"/>
        <v>#N/A</v>
      </c>
      <c r="V155" s="466">
        <f t="shared" si="28"/>
        <v>66.527777777777786</v>
      </c>
      <c r="W155" s="466" t="e">
        <f t="shared" si="29"/>
        <v>#N/A</v>
      </c>
      <c r="Y155" s="35">
        <f t="shared" si="36"/>
        <v>164</v>
      </c>
      <c r="Z155" s="466">
        <f>[1]!srIx2Val(AA$6,Y155,1)</f>
        <v>3.5714285714285716</v>
      </c>
      <c r="AA155" s="572">
        <f>[1]!srIx2Val(AA$6,Y155,5)</f>
        <v>38.51</v>
      </c>
      <c r="AB155" s="554">
        <f t="shared" si="30"/>
        <v>33.51</v>
      </c>
      <c r="AC155" s="465">
        <f>IF(AB155&lt;=0,0,[1]!srRng2E(AA$6,AB155))</f>
        <v>3.0121293800539082</v>
      </c>
      <c r="AD155" s="466">
        <f t="shared" si="31"/>
        <v>0.55929919137466344</v>
      </c>
      <c r="AE155" s="466" t="e">
        <f t="shared" si="32"/>
        <v>#N/A</v>
      </c>
      <c r="AF155" s="466">
        <f t="shared" si="33"/>
        <v>46.981132075471727</v>
      </c>
      <c r="AG155" s="466" t="e">
        <f t="shared" si="34"/>
        <v>#N/A</v>
      </c>
    </row>
    <row r="156" spans="15:33">
      <c r="O156" s="35">
        <f t="shared" si="35"/>
        <v>165</v>
      </c>
      <c r="P156" s="466">
        <f>[1]!srIx2Val(Q$6,O156,1)</f>
        <v>4</v>
      </c>
      <c r="Q156" s="493">
        <f>[1]!srIx2Val(Q$6,O156,5)</f>
        <v>13.41</v>
      </c>
      <c r="R156" s="554">
        <f t="shared" si="25"/>
        <v>8.41</v>
      </c>
      <c r="S156" s="465">
        <f>IF(R156&lt;=0,0,[1]!srRng2E(Q$6,R156))</f>
        <v>2.3595890410958904</v>
      </c>
      <c r="T156" s="482">
        <f t="shared" si="26"/>
        <v>1.6404109589041096</v>
      </c>
      <c r="U156" s="466" t="e">
        <f t="shared" si="27"/>
        <v>#N/A</v>
      </c>
      <c r="V156" s="466">
        <f t="shared" si="28"/>
        <v>65.61643835616438</v>
      </c>
      <c r="W156" s="466" t="e">
        <f t="shared" si="29"/>
        <v>#N/A</v>
      </c>
      <c r="Y156" s="35">
        <f t="shared" si="36"/>
        <v>165</v>
      </c>
      <c r="Z156" s="466">
        <f>[1]!srIx2Val(AA$6,Y156,1)</f>
        <v>3.8690476190476191</v>
      </c>
      <c r="AA156" s="572">
        <f>[1]!srIx2Val(AA$6,Y156,5)</f>
        <v>41.19</v>
      </c>
      <c r="AB156" s="554">
        <f t="shared" si="30"/>
        <v>36.19</v>
      </c>
      <c r="AC156" s="465">
        <f>IF(AB156&lt;=0,0,[1]!srRng2E(AA$6,AB156))</f>
        <v>3.312823256643481</v>
      </c>
      <c r="AD156" s="466">
        <f t="shared" si="31"/>
        <v>0.55622436240413808</v>
      </c>
      <c r="AE156" s="466" t="e">
        <f t="shared" si="32"/>
        <v>#N/A</v>
      </c>
      <c r="AF156" s="466">
        <f t="shared" si="33"/>
        <v>46.722846441947596</v>
      </c>
      <c r="AG156" s="466" t="e">
        <f t="shared" si="34"/>
        <v>#N/A</v>
      </c>
    </row>
    <row r="157" spans="15:33">
      <c r="O157" s="35">
        <f t="shared" si="35"/>
        <v>166</v>
      </c>
      <c r="P157" s="466">
        <f>[1]!srIx2Val(Q$6,O157,1)</f>
        <v>4.25</v>
      </c>
      <c r="Q157" s="493">
        <f>[1]!srIx2Val(Q$6,O157,5)</f>
        <v>14.22</v>
      </c>
      <c r="R157" s="554">
        <f t="shared" si="25"/>
        <v>9.2200000000000006</v>
      </c>
      <c r="S157" s="465">
        <f>IF(R157&lt;=0,0,[1]!srRng2E(Q$6,R157))</f>
        <v>2.6351351351351351</v>
      </c>
      <c r="T157" s="482">
        <f t="shared" si="26"/>
        <v>1.6148648648648649</v>
      </c>
      <c r="U157" s="466" t="e">
        <f t="shared" si="27"/>
        <v>#N/A</v>
      </c>
      <c r="V157" s="466">
        <f t="shared" si="28"/>
        <v>64.594594594594597</v>
      </c>
      <c r="W157" s="466" t="e">
        <f t="shared" si="29"/>
        <v>#N/A</v>
      </c>
      <c r="Y157" s="35">
        <f t="shared" si="36"/>
        <v>166</v>
      </c>
      <c r="Z157" s="466">
        <f>[1]!srIx2Val(AA$6,Y157,1)</f>
        <v>4.166666666666667</v>
      </c>
      <c r="AA157" s="572">
        <f>[1]!srIx2Val(AA$6,Y157,5)</f>
        <v>43.9</v>
      </c>
      <c r="AB157" s="554">
        <f t="shared" si="30"/>
        <v>38.9</v>
      </c>
      <c r="AC157" s="465">
        <f>IF(AB157&lt;=0,0,[1]!srRng2E(AA$6,AB157))</f>
        <v>3.6147388059701493</v>
      </c>
      <c r="AD157" s="466">
        <f t="shared" si="31"/>
        <v>0.55192786069651767</v>
      </c>
      <c r="AE157" s="466" t="e">
        <f t="shared" si="32"/>
        <v>#N/A</v>
      </c>
      <c r="AF157" s="466">
        <f t="shared" si="33"/>
        <v>46.361940298507484</v>
      </c>
      <c r="AG157" s="466" t="e">
        <f t="shared" si="34"/>
        <v>#N/A</v>
      </c>
    </row>
    <row r="158" spans="15:33">
      <c r="O158" s="35">
        <f t="shared" si="35"/>
        <v>167</v>
      </c>
      <c r="P158" s="466">
        <f>[1]!srIx2Val(Q$6,O158,1)</f>
        <v>4.5</v>
      </c>
      <c r="Q158" s="493">
        <f>[1]!srIx2Val(Q$6,O158,5)</f>
        <v>15.03</v>
      </c>
      <c r="R158" s="554">
        <f t="shared" si="25"/>
        <v>10.029999999999999</v>
      </c>
      <c r="S158" s="465">
        <f>IF(R158&lt;=0,0,[1]!srRng2E(Q$6,R158))</f>
        <v>2.9087837837837833</v>
      </c>
      <c r="T158" s="482">
        <f t="shared" si="26"/>
        <v>1.5912162162162167</v>
      </c>
      <c r="U158" s="466" t="e">
        <f t="shared" si="27"/>
        <v>#N/A</v>
      </c>
      <c r="V158" s="466">
        <f t="shared" si="28"/>
        <v>63.648648648648667</v>
      </c>
      <c r="W158" s="466" t="e">
        <f t="shared" si="29"/>
        <v>#N/A</v>
      </c>
      <c r="Y158" s="35">
        <f t="shared" si="36"/>
        <v>167</v>
      </c>
      <c r="Z158" s="466">
        <f>[1]!srIx2Val(AA$6,Y158,1)</f>
        <v>4.4642857142857144</v>
      </c>
      <c r="AA158" s="572">
        <f>[1]!srIx2Val(AA$6,Y158,5)</f>
        <v>46.63</v>
      </c>
      <c r="AB158" s="554">
        <f t="shared" si="30"/>
        <v>41.63</v>
      </c>
      <c r="AC158" s="465">
        <f>IF(AB158&lt;=0,0,[1]!srRng2E(AA$6,AB158))</f>
        <v>3.9173695308381662</v>
      </c>
      <c r="AD158" s="466">
        <f t="shared" si="31"/>
        <v>0.54691618344754822</v>
      </c>
      <c r="AE158" s="466" t="e">
        <f t="shared" si="32"/>
        <v>#N/A</v>
      </c>
      <c r="AF158" s="466">
        <f t="shared" si="33"/>
        <v>45.940959409594051</v>
      </c>
      <c r="AG158" s="466" t="e">
        <f t="shared" si="34"/>
        <v>#N/A</v>
      </c>
    </row>
    <row r="159" spans="15:33">
      <c r="O159" s="35">
        <f t="shared" si="35"/>
        <v>168</v>
      </c>
      <c r="P159" s="466">
        <f>[1]!srIx2Val(Q$6,O159,1)</f>
        <v>5</v>
      </c>
      <c r="Q159" s="493">
        <f>[1]!srIx2Val(Q$6,O159,5)</f>
        <v>16.7</v>
      </c>
      <c r="R159" s="554">
        <f t="shared" si="25"/>
        <v>11.7</v>
      </c>
      <c r="S159" s="465">
        <f>IF(R159&lt;=0,0,[1]!srRng2E(Q$6,R159))</f>
        <v>3.4551282051282048</v>
      </c>
      <c r="T159" s="482">
        <f t="shared" si="26"/>
        <v>1.5448717948717952</v>
      </c>
      <c r="U159" s="466" t="e">
        <f t="shared" si="27"/>
        <v>#N/A</v>
      </c>
      <c r="V159" s="466">
        <f t="shared" si="28"/>
        <v>61.79487179487181</v>
      </c>
      <c r="W159" s="466" t="e">
        <f t="shared" si="29"/>
        <v>#N/A</v>
      </c>
      <c r="Y159" s="35">
        <f t="shared" si="36"/>
        <v>168</v>
      </c>
      <c r="Z159" s="466">
        <f>[1]!srIx2Val(AA$6,Y159,1)</f>
        <v>4.7619047619047619</v>
      </c>
      <c r="AA159" s="572">
        <f>[1]!srIx2Val(AA$6,Y159,5)</f>
        <v>49.39</v>
      </c>
      <c r="AB159" s="554">
        <f t="shared" si="30"/>
        <v>44.39</v>
      </c>
      <c r="AC159" s="465">
        <f>IF(AB159&lt;=0,0,[1]!srRng2E(AA$6,AB159))</f>
        <v>4.2200854700854702</v>
      </c>
      <c r="AD159" s="466">
        <f t="shared" si="31"/>
        <v>0.54181929181929167</v>
      </c>
      <c r="AE159" s="466" t="e">
        <f t="shared" si="32"/>
        <v>#N/A</v>
      </c>
      <c r="AF159" s="466">
        <f t="shared" si="33"/>
        <v>45.512820512820497</v>
      </c>
      <c r="AG159" s="466" t="e">
        <f t="shared" si="34"/>
        <v>#N/A</v>
      </c>
    </row>
    <row r="160" spans="15:33">
      <c r="O160" s="35">
        <f t="shared" si="35"/>
        <v>169</v>
      </c>
      <c r="P160" s="466">
        <f>[1]!srIx2Val(Q$6,O160,1)</f>
        <v>5.625</v>
      </c>
      <c r="Q160" s="493">
        <f>[1]!srIx2Val(Q$6,O160,5)</f>
        <v>18.84</v>
      </c>
      <c r="R160" s="554">
        <f t="shared" si="25"/>
        <v>13.84</v>
      </c>
      <c r="S160" s="465">
        <f>IF(R160&lt;=0,0,[1]!srRng2E(Q$6,R160))</f>
        <v>4.132716049382716</v>
      </c>
      <c r="T160" s="482">
        <f t="shared" si="26"/>
        <v>1.492283950617284</v>
      </c>
      <c r="U160" s="466" t="e">
        <f t="shared" si="27"/>
        <v>#N/A</v>
      </c>
      <c r="V160" s="466">
        <f t="shared" si="28"/>
        <v>59.691358024691361</v>
      </c>
      <c r="W160" s="466" t="e">
        <f t="shared" si="29"/>
        <v>#N/A</v>
      </c>
      <c r="Y160" s="35">
        <f t="shared" si="36"/>
        <v>169</v>
      </c>
      <c r="Z160" s="466">
        <f>[1]!srIx2Val(AA$6,Y160,1)</f>
        <v>5.3571428571428568</v>
      </c>
      <c r="AA160" s="572">
        <f>[1]!srIx2Val(AA$6,Y160,5)</f>
        <v>55.01</v>
      </c>
      <c r="AB160" s="554">
        <f t="shared" si="30"/>
        <v>50.01</v>
      </c>
      <c r="AC160" s="465">
        <f>IF(AB160&lt;=0,0,[1]!srRng2E(AA$6,AB160))</f>
        <v>4.8275715980342309</v>
      </c>
      <c r="AD160" s="466">
        <f t="shared" si="31"/>
        <v>0.5295712591086259</v>
      </c>
      <c r="AE160" s="466" t="e">
        <f t="shared" si="32"/>
        <v>#N/A</v>
      </c>
      <c r="AF160" s="466">
        <f t="shared" si="33"/>
        <v>44.483985765124572</v>
      </c>
      <c r="AG160" s="466" t="e">
        <f t="shared" si="34"/>
        <v>#N/A</v>
      </c>
    </row>
    <row r="161" spans="15:33">
      <c r="O161" s="35">
        <f t="shared" si="35"/>
        <v>170</v>
      </c>
      <c r="P161" s="466">
        <f>[1]!srIx2Val(Q$6,O161,1)</f>
        <v>6.25</v>
      </c>
      <c r="Q161" s="493">
        <f>[1]!srIx2Val(Q$6,O161,5)</f>
        <v>21.05</v>
      </c>
      <c r="R161" s="554">
        <f t="shared" si="25"/>
        <v>16.05</v>
      </c>
      <c r="S161" s="465">
        <f>IF(R161&lt;=0,0,[1]!srRng2E(Q$6,R161))</f>
        <v>4.8053892215568865</v>
      </c>
      <c r="T161" s="482">
        <f t="shared" si="26"/>
        <v>1.4446107784431135</v>
      </c>
      <c r="U161" s="466" t="e">
        <f t="shared" si="27"/>
        <v>#N/A</v>
      </c>
      <c r="V161" s="466">
        <f t="shared" si="28"/>
        <v>57.784431137724539</v>
      </c>
      <c r="W161" s="466" t="e">
        <f t="shared" si="29"/>
        <v>#N/A</v>
      </c>
      <c r="Y161" s="35">
        <f t="shared" si="36"/>
        <v>170</v>
      </c>
      <c r="Z161" s="466">
        <f>[1]!srIx2Val(AA$6,Y161,1)</f>
        <v>5.9523809523809526</v>
      </c>
      <c r="AA161" s="572">
        <f>[1]!srIx2Val(AA$6,Y161,5)</f>
        <v>60.75</v>
      </c>
      <c r="AB161" s="554">
        <f t="shared" si="30"/>
        <v>55.75</v>
      </c>
      <c r="AC161" s="465">
        <f>IF(AB161&lt;=0,0,[1]!srRng2E(AA$6,AB161))</f>
        <v>5.4338808694209391</v>
      </c>
      <c r="AD161" s="466">
        <f t="shared" si="31"/>
        <v>0.51850008296001349</v>
      </c>
      <c r="AE161" s="466" t="e">
        <f t="shared" si="32"/>
        <v>#N/A</v>
      </c>
      <c r="AF161" s="466">
        <f t="shared" si="33"/>
        <v>43.554006968641133</v>
      </c>
      <c r="AG161" s="466" t="e">
        <f t="shared" si="34"/>
        <v>#N/A</v>
      </c>
    </row>
    <row r="162" spans="15:33">
      <c r="O162" s="35">
        <f t="shared" si="35"/>
        <v>171</v>
      </c>
      <c r="P162" s="466">
        <f>[1]!srIx2Val(Q$6,O162,1)</f>
        <v>6.875</v>
      </c>
      <c r="Q162" s="493">
        <f>[1]!srIx2Val(Q$6,O162,5)</f>
        <v>23.32</v>
      </c>
      <c r="R162" s="554">
        <f t="shared" si="25"/>
        <v>18.32</v>
      </c>
      <c r="S162" s="465">
        <f>IF(R162&lt;=0,0,[1]!srRng2E(Q$6,R162))</f>
        <v>5.4731308411214954</v>
      </c>
      <c r="T162" s="482">
        <f t="shared" si="26"/>
        <v>1.4018691588785046</v>
      </c>
      <c r="U162" s="466" t="e">
        <f t="shared" si="27"/>
        <v>#N/A</v>
      </c>
      <c r="V162" s="466">
        <f t="shared" si="28"/>
        <v>56.074766355140184</v>
      </c>
      <c r="W162" s="466" t="e">
        <f t="shared" si="29"/>
        <v>#N/A</v>
      </c>
      <c r="Y162" s="35">
        <f t="shared" si="36"/>
        <v>171</v>
      </c>
      <c r="Z162" s="466">
        <f>[1]!srIx2Val(AA$6,Y162,1)</f>
        <v>6.5476190476190474</v>
      </c>
      <c r="AA162" s="572">
        <f>[1]!srIx2Val(AA$6,Y162,5)</f>
        <v>66.63</v>
      </c>
      <c r="AB162" s="554">
        <f t="shared" si="30"/>
        <v>61.629999999999995</v>
      </c>
      <c r="AC162" s="465">
        <f>IF(AB162&lt;=0,0,[1]!srRng2E(AA$6,AB162))</f>
        <v>6.0414642047295102</v>
      </c>
      <c r="AD162" s="466">
        <f t="shared" si="31"/>
        <v>0.50615484288953727</v>
      </c>
      <c r="AE162" s="466" t="e">
        <f t="shared" si="32"/>
        <v>#N/A</v>
      </c>
      <c r="AF162" s="466">
        <f t="shared" si="33"/>
        <v>42.517006802721127</v>
      </c>
      <c r="AG162" s="466" t="e">
        <f t="shared" si="34"/>
        <v>#N/A</v>
      </c>
    </row>
    <row r="163" spans="15:33">
      <c r="O163" s="35">
        <f t="shared" si="35"/>
        <v>172</v>
      </c>
      <c r="P163" s="466">
        <f>[1]!srIx2Val(Q$6,O163,1)</f>
        <v>7.5</v>
      </c>
      <c r="Q163" s="493">
        <f>[1]!srIx2Val(Q$6,O163,5)</f>
        <v>25.66</v>
      </c>
      <c r="R163" s="554">
        <f t="shared" si="25"/>
        <v>20.66</v>
      </c>
      <c r="S163" s="465">
        <f>IF(R163&lt;=0,0,[1]!srRng2E(Q$6,R163))</f>
        <v>6.1397058823529411</v>
      </c>
      <c r="T163" s="482">
        <f t="shared" si="26"/>
        <v>1.3602941176470589</v>
      </c>
      <c r="U163" s="466" t="e">
        <f t="shared" si="27"/>
        <v>#N/A</v>
      </c>
      <c r="V163" s="466">
        <f t="shared" si="28"/>
        <v>54.411764705882355</v>
      </c>
      <c r="W163" s="466" t="e">
        <f t="shared" si="29"/>
        <v>#N/A</v>
      </c>
      <c r="Y163" s="35">
        <f t="shared" si="36"/>
        <v>172</v>
      </c>
      <c r="Z163" s="466">
        <f>[1]!srIx2Val(AA$6,Y163,1)</f>
        <v>7.1428571428571432</v>
      </c>
      <c r="AA163" s="572">
        <f>[1]!srIx2Val(AA$6,Y163,5)</f>
        <v>72.66</v>
      </c>
      <c r="AB163" s="554">
        <f t="shared" si="30"/>
        <v>67.66</v>
      </c>
      <c r="AC163" s="465">
        <f>IF(AB163&lt;=0,0,[1]!srRng2E(AA$6,AB163))</f>
        <v>6.6492932164573952</v>
      </c>
      <c r="AD163" s="466">
        <f t="shared" si="31"/>
        <v>0.493563926399748</v>
      </c>
      <c r="AE163" s="466" t="e">
        <f t="shared" si="32"/>
        <v>#N/A</v>
      </c>
      <c r="AF163" s="466">
        <f t="shared" si="33"/>
        <v>41.459369817578832</v>
      </c>
      <c r="AG163" s="466" t="e">
        <f t="shared" si="34"/>
        <v>#N/A</v>
      </c>
    </row>
    <row r="164" spans="15:33">
      <c r="O164" s="35">
        <f t="shared" si="35"/>
        <v>173</v>
      </c>
      <c r="P164" s="466">
        <f>[1]!srIx2Val(Q$6,O164,1)</f>
        <v>8.125</v>
      </c>
      <c r="Q164" s="493">
        <f>[1]!srIx2Val(Q$6,O164,5)</f>
        <v>28.05</v>
      </c>
      <c r="R164" s="554">
        <f t="shared" si="25"/>
        <v>23.05</v>
      </c>
      <c r="S164" s="465">
        <f>IF(R164&lt;=0,0,[1]!srRng2E(Q$6,R164))</f>
        <v>6.8006607929515424</v>
      </c>
      <c r="T164" s="482">
        <f t="shared" si="26"/>
        <v>1.3243392070484576</v>
      </c>
      <c r="U164" s="466" t="e">
        <f t="shared" si="27"/>
        <v>#N/A</v>
      </c>
      <c r="V164" s="466">
        <f t="shared" si="28"/>
        <v>52.973568281938306</v>
      </c>
      <c r="W164" s="466" t="e">
        <f t="shared" si="29"/>
        <v>#N/A</v>
      </c>
      <c r="Y164" s="35">
        <f t="shared" si="36"/>
        <v>173</v>
      </c>
      <c r="Z164" s="466">
        <f>[1]!srIx2Val(AA$6,Y164,1)</f>
        <v>7.7380952380952381</v>
      </c>
      <c r="AA164" s="572">
        <f>[1]!srIx2Val(AA$6,Y164,5)</f>
        <v>78.84</v>
      </c>
      <c r="AB164" s="554">
        <f t="shared" si="30"/>
        <v>73.84</v>
      </c>
      <c r="AC164" s="465">
        <f>IF(AB164&lt;=0,0,[1]!srRng2E(AA$6,AB164))</f>
        <v>7.2565110186469415</v>
      </c>
      <c r="AD164" s="466">
        <f t="shared" si="31"/>
        <v>0.48158421944829666</v>
      </c>
      <c r="AE164" s="466" t="e">
        <f t="shared" si="32"/>
        <v>#N/A</v>
      </c>
      <c r="AF164" s="466">
        <f t="shared" si="33"/>
        <v>40.453074433656923</v>
      </c>
      <c r="AG164" s="466" t="e">
        <f t="shared" si="34"/>
        <v>#N/A</v>
      </c>
    </row>
    <row r="165" spans="15:33">
      <c r="O165" s="35">
        <f t="shared" si="35"/>
        <v>174</v>
      </c>
      <c r="P165" s="466">
        <f>[1]!srIx2Val(Q$6,O165,1)</f>
        <v>8.75</v>
      </c>
      <c r="Q165" s="493">
        <f>[1]!srIx2Val(Q$6,O165,5)</f>
        <v>30.51</v>
      </c>
      <c r="R165" s="554">
        <f t="shared" si="25"/>
        <v>25.51</v>
      </c>
      <c r="S165" s="465">
        <f>IF(R165&lt;=0,0,[1]!srRng2E(Q$6,R165))</f>
        <v>7.4599358974358978</v>
      </c>
      <c r="T165" s="482">
        <f t="shared" si="26"/>
        <v>1.2900641025641022</v>
      </c>
      <c r="U165" s="466" t="e">
        <f t="shared" si="27"/>
        <v>#N/A</v>
      </c>
      <c r="V165" s="466">
        <f t="shared" si="28"/>
        <v>51.602564102564088</v>
      </c>
      <c r="W165" s="466" t="e">
        <f t="shared" si="29"/>
        <v>#N/A</v>
      </c>
      <c r="Y165" s="35">
        <f t="shared" si="36"/>
        <v>174</v>
      </c>
      <c r="Z165" s="466">
        <f>[1]!srIx2Val(AA$6,Y165,1)</f>
        <v>8.3333333333333339</v>
      </c>
      <c r="AA165" s="572">
        <f>[1]!srIx2Val(AA$6,Y165,5)</f>
        <v>85.19</v>
      </c>
      <c r="AB165" s="554">
        <f t="shared" si="30"/>
        <v>80.19</v>
      </c>
      <c r="AC165" s="465">
        <f>IF(AB165&lt;=0,0,[1]!srRng2E(AA$6,AB165))</f>
        <v>7.8646419197600297</v>
      </c>
      <c r="AD165" s="466">
        <f t="shared" si="31"/>
        <v>0.46869141357330424</v>
      </c>
      <c r="AE165" s="466" t="e">
        <f t="shared" si="32"/>
        <v>#N/A</v>
      </c>
      <c r="AF165" s="466">
        <f t="shared" si="33"/>
        <v>39.370078740157552</v>
      </c>
      <c r="AG165" s="466" t="e">
        <f t="shared" si="34"/>
        <v>#N/A</v>
      </c>
    </row>
    <row r="166" spans="15:33">
      <c r="O166" s="35">
        <f t="shared" si="35"/>
        <v>175</v>
      </c>
      <c r="P166" s="466">
        <f>[1]!srIx2Val(Q$6,O166,1)</f>
        <v>9.375</v>
      </c>
      <c r="Q166" s="493">
        <f>[1]!srIx2Val(Q$6,O166,5)</f>
        <v>33.03</v>
      </c>
      <c r="R166" s="554">
        <f t="shared" si="25"/>
        <v>28.03</v>
      </c>
      <c r="S166" s="465">
        <f>IF(R166&lt;=0,0,[1]!srRng2E(Q$6,R166))</f>
        <v>8.1197698744769884</v>
      </c>
      <c r="T166" s="482">
        <f t="shared" si="26"/>
        <v>1.2552301255230116</v>
      </c>
      <c r="U166" s="466" t="e">
        <f t="shared" si="27"/>
        <v>#N/A</v>
      </c>
      <c r="V166" s="466">
        <f t="shared" si="28"/>
        <v>50.209205020920464</v>
      </c>
      <c r="W166" s="466" t="e">
        <f t="shared" si="29"/>
        <v>#N/A</v>
      </c>
      <c r="Y166" s="35">
        <f t="shared" si="36"/>
        <v>175</v>
      </c>
      <c r="Z166" s="466">
        <f>[1]!srIx2Val(AA$6,Y166,1)</f>
        <v>9.5238095238095237</v>
      </c>
      <c r="AA166" s="572">
        <f>[1]!srIx2Val(AA$6,Y166,5)</f>
        <v>98.36</v>
      </c>
      <c r="AB166" s="554">
        <f t="shared" si="30"/>
        <v>93.36</v>
      </c>
      <c r="AC166" s="465">
        <f>IF(AB166&lt;=0,0,[1]!srRng2E(AA$6,AB166))</f>
        <v>9.0718443793614636</v>
      </c>
      <c r="AD166" s="466">
        <f t="shared" si="31"/>
        <v>0.45196514444806013</v>
      </c>
      <c r="AE166" s="466" t="e">
        <f t="shared" si="32"/>
        <v>#N/A</v>
      </c>
      <c r="AF166" s="466">
        <f t="shared" si="33"/>
        <v>37.965072133637051</v>
      </c>
      <c r="AG166" s="466" t="e">
        <f t="shared" si="34"/>
        <v>#N/A</v>
      </c>
    </row>
    <row r="167" spans="15:33">
      <c r="O167" s="35">
        <f t="shared" si="35"/>
        <v>176</v>
      </c>
      <c r="P167" s="466">
        <f>[1]!srIx2Val(Q$6,O167,1)</f>
        <v>10</v>
      </c>
      <c r="Q167" s="493">
        <f>[1]!srIx2Val(Q$6,O167,5)</f>
        <v>35.61</v>
      </c>
      <c r="R167" s="554">
        <f t="shared" si="25"/>
        <v>30.61</v>
      </c>
      <c r="S167" s="465">
        <f>IF(R167&lt;=0,0,[1]!srRng2E(Q$6,R167))</f>
        <v>8.774801587301587</v>
      </c>
      <c r="T167" s="482">
        <f t="shared" si="26"/>
        <v>1.225198412698413</v>
      </c>
      <c r="U167" s="466" t="e">
        <f t="shared" si="27"/>
        <v>#N/A</v>
      </c>
      <c r="V167" s="466">
        <f t="shared" si="28"/>
        <v>49.00793650793652</v>
      </c>
      <c r="W167" s="466" t="e">
        <f t="shared" si="29"/>
        <v>#N/A</v>
      </c>
      <c r="Y167" s="35">
        <f t="shared" si="36"/>
        <v>176</v>
      </c>
      <c r="Z167" s="466">
        <f>[1]!srIx2Val(AA$6,Y167,1)</f>
        <v>10.714285714285714</v>
      </c>
      <c r="AA167" s="572">
        <f>[1]!srIx2Val(AA$6,Y167,5)</f>
        <v>112.21</v>
      </c>
      <c r="AB167" s="554">
        <f t="shared" si="30"/>
        <v>107.21</v>
      </c>
      <c r="AC167" s="465">
        <f>IF(AB167&lt;=0,0,[1]!srRng2E(AA$6,AB167))</f>
        <v>10.284510916279869</v>
      </c>
      <c r="AD167" s="466">
        <f t="shared" si="31"/>
        <v>0.42977479800584462</v>
      </c>
      <c r="AE167" s="466" t="e">
        <f t="shared" si="32"/>
        <v>#N/A</v>
      </c>
      <c r="AF167" s="466">
        <f t="shared" si="33"/>
        <v>36.101083032490948</v>
      </c>
      <c r="AG167" s="466" t="e">
        <f t="shared" si="34"/>
        <v>#N/A</v>
      </c>
    </row>
    <row r="168" spans="15:33">
      <c r="O168" s="35">
        <f t="shared" si="35"/>
        <v>177</v>
      </c>
      <c r="P168" s="466">
        <f>[1]!srIx2Val(Q$6,O168,1)</f>
        <v>11.25</v>
      </c>
      <c r="Q168" s="493">
        <f>[1]!srIx2Val(Q$6,O168,5)</f>
        <v>40.96</v>
      </c>
      <c r="R168" s="554">
        <f t="shared" si="25"/>
        <v>35.96</v>
      </c>
      <c r="S168" s="465">
        <f>IF(R168&lt;=0,0,[1]!srRng2E(Q$6,R168))</f>
        <v>10.08177570093458</v>
      </c>
      <c r="T168" s="482">
        <f t="shared" si="26"/>
        <v>1.1682242990654199</v>
      </c>
      <c r="U168" s="466" t="e">
        <f t="shared" si="27"/>
        <v>#N/A</v>
      </c>
      <c r="V168" s="466">
        <f t="shared" si="28"/>
        <v>46.728971962616797</v>
      </c>
      <c r="W168" s="466" t="e">
        <f t="shared" si="29"/>
        <v>#N/A</v>
      </c>
      <c r="Y168" s="35">
        <f t="shared" si="36"/>
        <v>177</v>
      </c>
      <c r="Z168" s="466">
        <f>[1]!srIx2Val(AA$6,Y168,1)</f>
        <v>11.904761904761905</v>
      </c>
      <c r="AA168" s="572">
        <f>[1]!srIx2Val(AA$6,Y168,5)</f>
        <v>126.75</v>
      </c>
      <c r="AB168" s="554">
        <f t="shared" si="30"/>
        <v>121.75</v>
      </c>
      <c r="AC168" s="465">
        <f>IF(AB168&lt;=0,0,[1]!srRng2E(AA$6,AB168))</f>
        <v>11.495382196895264</v>
      </c>
      <c r="AD168" s="466">
        <f t="shared" si="31"/>
        <v>0.40937970786664124</v>
      </c>
      <c r="AE168" s="466" t="e">
        <f t="shared" si="32"/>
        <v>#N/A</v>
      </c>
      <c r="AF168" s="466">
        <f t="shared" si="33"/>
        <v>34.387895460797864</v>
      </c>
      <c r="AG168" s="466" t="e">
        <f t="shared" si="34"/>
        <v>#N/A</v>
      </c>
    </row>
    <row r="169" spans="15:33">
      <c r="O169" s="35">
        <f t="shared" si="35"/>
        <v>178</v>
      </c>
      <c r="P169" s="466">
        <f>[1]!srIx2Val(Q$6,O169,1)</f>
        <v>12.5</v>
      </c>
      <c r="Q169" s="493">
        <f>[1]!srIx2Val(Q$6,O169,5)</f>
        <v>46.57</v>
      </c>
      <c r="R169" s="554">
        <f t="shared" si="25"/>
        <v>41.57</v>
      </c>
      <c r="S169" s="465">
        <f>IF(R169&lt;=0,0,[1]!srRng2E(Q$6,R169))</f>
        <v>11.385918003565063</v>
      </c>
      <c r="T169" s="482">
        <f t="shared" si="26"/>
        <v>1.1140819964349369</v>
      </c>
      <c r="U169" s="466" t="e">
        <f t="shared" si="27"/>
        <v>#N/A</v>
      </c>
      <c r="V169" s="466">
        <f t="shared" si="28"/>
        <v>44.563279857397475</v>
      </c>
      <c r="W169" s="466" t="e">
        <f t="shared" si="29"/>
        <v>#N/A</v>
      </c>
      <c r="Y169" s="35">
        <f t="shared" si="36"/>
        <v>178</v>
      </c>
      <c r="Z169" s="466">
        <f>[1]!srIx2Val(AA$6,Y169,1)</f>
        <v>13.095238095238095</v>
      </c>
      <c r="AA169" s="572">
        <f>[1]!srIx2Val(AA$6,Y169,5)</f>
        <v>142.01</v>
      </c>
      <c r="AB169" s="554">
        <f t="shared" si="30"/>
        <v>137.01</v>
      </c>
      <c r="AC169" s="465">
        <f>IF(AB169&lt;=0,0,[1]!srRng2E(AA$6,AB169))</f>
        <v>12.705173812644324</v>
      </c>
      <c r="AD169" s="466">
        <f t="shared" si="31"/>
        <v>0.39006428259377124</v>
      </c>
      <c r="AE169" s="466" t="e">
        <f t="shared" si="32"/>
        <v>#N/A</v>
      </c>
      <c r="AF169" s="466">
        <f t="shared" si="33"/>
        <v>32.765399737876784</v>
      </c>
      <c r="AG169" s="466" t="e">
        <f t="shared" si="34"/>
        <v>#N/A</v>
      </c>
    </row>
    <row r="170" spans="15:33">
      <c r="O170" s="35">
        <f t="shared" si="35"/>
        <v>179</v>
      </c>
      <c r="P170" s="466">
        <f>[1]!srIx2Val(Q$6,O170,1)</f>
        <v>13.75</v>
      </c>
      <c r="Q170" s="493">
        <f>[1]!srIx2Val(Q$6,O170,5)</f>
        <v>52.45</v>
      </c>
      <c r="R170" s="554">
        <f t="shared" si="25"/>
        <v>47.45</v>
      </c>
      <c r="S170" s="465">
        <f>IF(R170&lt;=0,0,[1]!srRng2E(Q$6,R170))</f>
        <v>12.687074829931973</v>
      </c>
      <c r="T170" s="482">
        <f t="shared" si="26"/>
        <v>1.0629251700680271</v>
      </c>
      <c r="U170" s="466" t="e">
        <f t="shared" si="27"/>
        <v>#N/A</v>
      </c>
      <c r="V170" s="466">
        <f t="shared" si="28"/>
        <v>42.517006802721085</v>
      </c>
      <c r="W170" s="466" t="e">
        <f t="shared" si="29"/>
        <v>#N/A</v>
      </c>
      <c r="Y170" s="35">
        <f t="shared" si="36"/>
        <v>179</v>
      </c>
      <c r="Z170" s="466">
        <f>[1]!srIx2Val(AA$6,Y170,1)</f>
        <v>14.285714285714286</v>
      </c>
      <c r="AA170" s="572">
        <f>[1]!srIx2Val(AA$6,Y170,5)</f>
        <v>157.99</v>
      </c>
      <c r="AB170" s="554">
        <f t="shared" si="30"/>
        <v>152.99</v>
      </c>
      <c r="AC170" s="465">
        <f>IF(AB170&lt;=0,0,[1]!srRng2E(AA$6,AB170))</f>
        <v>13.913224864413852</v>
      </c>
      <c r="AD170" s="466">
        <f t="shared" si="31"/>
        <v>0.37248942130043439</v>
      </c>
      <c r="AE170" s="466" t="e">
        <f t="shared" si="32"/>
        <v>#N/A</v>
      </c>
      <c r="AF170" s="466">
        <f t="shared" si="33"/>
        <v>31.289111389236488</v>
      </c>
      <c r="AG170" s="466" t="e">
        <f t="shared" si="34"/>
        <v>#N/A</v>
      </c>
    </row>
    <row r="171" spans="15:33">
      <c r="O171" s="35">
        <f t="shared" si="35"/>
        <v>180</v>
      </c>
      <c r="P171" s="466">
        <f>[1]!srIx2Val(Q$6,O171,1)</f>
        <v>15</v>
      </c>
      <c r="Q171" s="493">
        <f>[1]!srIx2Val(Q$6,O171,5)</f>
        <v>58.59</v>
      </c>
      <c r="R171" s="554">
        <f t="shared" si="25"/>
        <v>53.59</v>
      </c>
      <c r="S171" s="465">
        <f>IF(R171&lt;=0,0,[1]!srRng2E(Q$6,R171))</f>
        <v>13.982084690553746</v>
      </c>
      <c r="T171" s="482">
        <f t="shared" si="26"/>
        <v>1.0179153094462539</v>
      </c>
      <c r="U171" s="466" t="e">
        <f t="shared" si="27"/>
        <v>#N/A</v>
      </c>
      <c r="V171" s="466">
        <f t="shared" si="28"/>
        <v>40.716612377850154</v>
      </c>
      <c r="W171" s="466" t="e">
        <f t="shared" si="29"/>
        <v>#N/A</v>
      </c>
      <c r="Y171" s="35">
        <f t="shared" si="36"/>
        <v>180</v>
      </c>
      <c r="Z171" s="466">
        <f>[1]!srIx2Val(AA$6,Y171,1)</f>
        <v>15.476190476190476</v>
      </c>
      <c r="AA171" s="572">
        <f>[1]!srIx2Val(AA$6,Y171,5)</f>
        <v>174.7</v>
      </c>
      <c r="AB171" s="554">
        <f t="shared" si="30"/>
        <v>169.7</v>
      </c>
      <c r="AC171" s="465">
        <f>IF(AB171&lt;=0,0,[1]!srRng2E(AA$6,AB171))</f>
        <v>15.119973782451341</v>
      </c>
      <c r="AD171" s="466">
        <f t="shared" si="31"/>
        <v>0.35621669373913534</v>
      </c>
      <c r="AE171" s="466" t="e">
        <f t="shared" si="32"/>
        <v>#N/A</v>
      </c>
      <c r="AF171" s="466">
        <f t="shared" si="33"/>
        <v>29.922202274087368</v>
      </c>
      <c r="AG171" s="466" t="e">
        <f t="shared" si="34"/>
        <v>#N/A</v>
      </c>
    </row>
    <row r="172" spans="15:33">
      <c r="O172" s="35">
        <f t="shared" si="35"/>
        <v>181</v>
      </c>
      <c r="P172" s="466">
        <f>[1]!srIx2Val(Q$6,O172,1)</f>
        <v>16.25</v>
      </c>
      <c r="Q172" s="493">
        <f>[1]!srIx2Val(Q$6,O172,5)</f>
        <v>65</v>
      </c>
      <c r="R172" s="554">
        <f t="shared" si="25"/>
        <v>60</v>
      </c>
      <c r="S172" s="465">
        <f>IF(R172&lt;=0,0,[1]!srRng2E(Q$6,R172))</f>
        <v>15.274960998439937</v>
      </c>
      <c r="T172" s="482">
        <f t="shared" si="26"/>
        <v>0.97503900156006296</v>
      </c>
      <c r="U172" s="466" t="e">
        <f t="shared" si="27"/>
        <v>#N/A</v>
      </c>
      <c r="V172" s="466">
        <f t="shared" si="28"/>
        <v>39.001560062402518</v>
      </c>
      <c r="W172" s="466" t="e">
        <f t="shared" si="29"/>
        <v>#N/A</v>
      </c>
      <c r="Y172" s="35">
        <f t="shared" si="36"/>
        <v>181</v>
      </c>
      <c r="Z172" s="466">
        <f>[1]!srIx2Val(AA$6,Y172,1)</f>
        <v>16.666666666666668</v>
      </c>
      <c r="AA172" s="572">
        <f>[1]!srIx2Val(AA$6,Y172,5)</f>
        <v>192.16</v>
      </c>
      <c r="AB172" s="554">
        <f t="shared" si="30"/>
        <v>187.16</v>
      </c>
      <c r="AC172" s="465">
        <f>IF(AB172&lt;=0,0,[1]!srRng2E(AA$6,AB172))</f>
        <v>16.32575137729777</v>
      </c>
      <c r="AD172" s="466">
        <f t="shared" si="31"/>
        <v>0.34091528936889759</v>
      </c>
      <c r="AE172" s="466" t="e">
        <f t="shared" si="32"/>
        <v>#N/A</v>
      </c>
      <c r="AF172" s="466">
        <f t="shared" si="33"/>
        <v>28.636884306987398</v>
      </c>
      <c r="AG172" s="466" t="e">
        <f t="shared" si="34"/>
        <v>#N/A</v>
      </c>
    </row>
    <row r="173" spans="15:33">
      <c r="O173" s="35">
        <f t="shared" si="35"/>
        <v>182</v>
      </c>
      <c r="P173" s="466">
        <f>[1]!srIx2Val(Q$6,O173,1)</f>
        <v>17.5</v>
      </c>
      <c r="Q173" s="493">
        <f>[1]!srIx2Val(Q$6,O173,5)</f>
        <v>71.7</v>
      </c>
      <c r="R173" s="554">
        <f t="shared" si="25"/>
        <v>66.7</v>
      </c>
      <c r="S173" s="465">
        <f>IF(R173&lt;=0,0,[1]!srRng2E(Q$6,R173))</f>
        <v>16.567164179104477</v>
      </c>
      <c r="T173" s="482">
        <f t="shared" si="26"/>
        <v>0.93283582089552297</v>
      </c>
      <c r="U173" s="466" t="e">
        <f t="shared" si="27"/>
        <v>#N/A</v>
      </c>
      <c r="V173" s="466">
        <f t="shared" si="28"/>
        <v>37.313432835820919</v>
      </c>
      <c r="W173" s="466" t="e">
        <f t="shared" si="29"/>
        <v>#N/A</v>
      </c>
      <c r="Y173" s="35">
        <f t="shared" si="36"/>
        <v>182</v>
      </c>
      <c r="Z173" s="466">
        <f>[1]!srIx2Val(AA$6,Y173,1)</f>
        <v>17.857142857142858</v>
      </c>
      <c r="AA173" s="572">
        <f>[1]!srIx2Val(AA$6,Y173,5)</f>
        <v>210.37</v>
      </c>
      <c r="AB173" s="554">
        <f t="shared" si="30"/>
        <v>205.37</v>
      </c>
      <c r="AC173" s="465">
        <f>IF(AB173&lt;=0,0,[1]!srRng2E(AA$6,AB173))</f>
        <v>17.530268559922597</v>
      </c>
      <c r="AD173" s="466">
        <f t="shared" si="31"/>
        <v>0.32687429722026096</v>
      </c>
      <c r="AE173" s="466" t="e">
        <f t="shared" si="32"/>
        <v>#N/A</v>
      </c>
      <c r="AF173" s="466">
        <f t="shared" si="33"/>
        <v>27.45744096650192</v>
      </c>
      <c r="AG173" s="466" t="e">
        <f t="shared" si="34"/>
        <v>#N/A</v>
      </c>
    </row>
    <row r="174" spans="15:33">
      <c r="O174" s="35">
        <f t="shared" si="35"/>
        <v>183</v>
      </c>
      <c r="P174" s="466">
        <f>[1]!srIx2Val(Q$6,O174,1)</f>
        <v>20</v>
      </c>
      <c r="Q174" s="493">
        <f>[1]!srIx2Val(Q$6,O174,5)</f>
        <v>85.93</v>
      </c>
      <c r="R174" s="554">
        <f t="shared" si="25"/>
        <v>80.930000000000007</v>
      </c>
      <c r="S174" s="465">
        <f>IF(R174&lt;=0,0,[1]!srRng2E(Q$6,R174))</f>
        <v>19.121574139142655</v>
      </c>
      <c r="T174" s="482">
        <f t="shared" si="26"/>
        <v>0.87842586085734453</v>
      </c>
      <c r="U174" s="466" t="e">
        <f t="shared" si="27"/>
        <v>#N/A</v>
      </c>
      <c r="V174" s="466">
        <f t="shared" si="28"/>
        <v>35.137034434293781</v>
      </c>
      <c r="W174" s="466" t="e">
        <f t="shared" si="29"/>
        <v>#N/A</v>
      </c>
      <c r="Y174" s="35">
        <f t="shared" si="36"/>
        <v>183</v>
      </c>
      <c r="Z174" s="466">
        <f>[1]!srIx2Val(AA$6,Y174,1)</f>
        <v>19.047619047619047</v>
      </c>
      <c r="AA174" s="572">
        <f>[1]!srIx2Val(AA$6,Y174,5)</f>
        <v>229.32</v>
      </c>
      <c r="AB174" s="554">
        <f t="shared" si="30"/>
        <v>224.32</v>
      </c>
      <c r="AC174" s="465">
        <f>IF(AB174&lt;=0,0,[1]!srRng2E(AA$6,AB174))</f>
        <v>18.733509234828496</v>
      </c>
      <c r="AD174" s="466">
        <f t="shared" si="31"/>
        <v>0.3141098127905515</v>
      </c>
      <c r="AE174" s="466" t="e">
        <f t="shared" si="32"/>
        <v>#N/A</v>
      </c>
      <c r="AF174" s="466">
        <f t="shared" si="33"/>
        <v>26.385224274406326</v>
      </c>
      <c r="AG174" s="466" t="e">
        <f t="shared" si="34"/>
        <v>#N/A</v>
      </c>
    </row>
    <row r="175" spans="15:33">
      <c r="O175" s="35">
        <f t="shared" si="35"/>
        <v>184</v>
      </c>
      <c r="P175" s="466">
        <f>[1]!srIx2Val(Q$6,O175,1)</f>
        <v>22.5</v>
      </c>
      <c r="Q175" s="493">
        <f>[1]!srIx2Val(Q$6,O175,5)</f>
        <v>101.28</v>
      </c>
      <c r="R175" s="554">
        <f t="shared" si="25"/>
        <v>96.28</v>
      </c>
      <c r="S175" s="465">
        <f>IF(R175&lt;=0,0,[1]!srRng2E(Q$6,R175))</f>
        <v>21.685667752442995</v>
      </c>
      <c r="T175" s="482">
        <f t="shared" si="26"/>
        <v>0.81433224755700451</v>
      </c>
      <c r="U175" s="466" t="e">
        <f t="shared" si="27"/>
        <v>#N/A</v>
      </c>
      <c r="V175" s="466">
        <f t="shared" si="28"/>
        <v>32.57328990228018</v>
      </c>
      <c r="W175" s="466" t="e">
        <f t="shared" si="29"/>
        <v>#N/A</v>
      </c>
      <c r="Y175" s="35">
        <f t="shared" si="36"/>
        <v>184</v>
      </c>
      <c r="Z175" s="466">
        <f>[1]!srIx2Val(AA$6,Y175,1)</f>
        <v>20.238095238095237</v>
      </c>
      <c r="AA175" s="572">
        <f>[1]!srIx2Val(AA$6,Y175,5)</f>
        <v>249.03</v>
      </c>
      <c r="AB175" s="554">
        <f t="shared" si="30"/>
        <v>244.03</v>
      </c>
      <c r="AC175" s="465">
        <f>IF(AB175&lt;=0,0,[1]!srRng2E(AA$6,AB175))</f>
        <v>19.936097219202242</v>
      </c>
      <c r="AD175" s="466">
        <f t="shared" si="31"/>
        <v>0.30199801889299493</v>
      </c>
      <c r="AE175" s="466" t="e">
        <f t="shared" si="32"/>
        <v>#N/A</v>
      </c>
      <c r="AF175" s="466">
        <f t="shared" si="33"/>
        <v>25.367833587011575</v>
      </c>
      <c r="AG175" s="466" t="e">
        <f t="shared" si="34"/>
        <v>#N/A</v>
      </c>
    </row>
    <row r="176" spans="15:33">
      <c r="O176" s="35">
        <f t="shared" si="35"/>
        <v>185</v>
      </c>
      <c r="P176" s="466">
        <f>[1]!srIx2Val(Q$6,O176,1)</f>
        <v>25</v>
      </c>
      <c r="Q176" s="493">
        <f>[1]!srIx2Val(Q$6,O176,5)</f>
        <v>117.71</v>
      </c>
      <c r="R176" s="554">
        <f t="shared" si="25"/>
        <v>112.71</v>
      </c>
      <c r="S176" s="465">
        <f>IF(R176&lt;=0,0,[1]!srRng2E(Q$6,R176))</f>
        <v>24.239196591600731</v>
      </c>
      <c r="T176" s="482">
        <f t="shared" si="26"/>
        <v>0.76080340839926919</v>
      </c>
      <c r="U176" s="466" t="e">
        <f t="shared" si="27"/>
        <v>#N/A</v>
      </c>
      <c r="V176" s="466">
        <f t="shared" si="28"/>
        <v>30.432136335970768</v>
      </c>
      <c r="W176" s="466" t="e">
        <f t="shared" si="29"/>
        <v>#N/A</v>
      </c>
      <c r="Y176" s="35">
        <f t="shared" si="36"/>
        <v>185</v>
      </c>
      <c r="Z176" s="466">
        <f>[1]!srIx2Val(AA$6,Y176,1)</f>
        <v>21.428571428571427</v>
      </c>
      <c r="AA176" s="572">
        <f>[1]!srIx2Val(AA$6,Y176,5)</f>
        <v>269.49</v>
      </c>
      <c r="AB176" s="554">
        <f t="shared" si="30"/>
        <v>264.49</v>
      </c>
      <c r="AC176" s="465">
        <f>IF(AB176&lt;=0,0,[1]!srRng2E(AA$6,AB176))</f>
        <v>21.137643718288878</v>
      </c>
      <c r="AD176" s="466">
        <f t="shared" si="31"/>
        <v>0.29092771028254916</v>
      </c>
      <c r="AE176" s="466" t="e">
        <f t="shared" si="32"/>
        <v>#N/A</v>
      </c>
      <c r="AF176" s="466">
        <f t="shared" si="33"/>
        <v>24.437927663734129</v>
      </c>
      <c r="AG176" s="466" t="e">
        <f t="shared" si="34"/>
        <v>#N/A</v>
      </c>
    </row>
    <row r="177" spans="15:33">
      <c r="O177" s="35">
        <f t="shared" si="35"/>
        <v>186</v>
      </c>
      <c r="P177" s="466">
        <f>[1]!srIx2Val(Q$6,O177,1)</f>
        <v>27.5</v>
      </c>
      <c r="Q177" s="493">
        <f>[1]!srIx2Val(Q$6,O177,5)</f>
        <v>135.16999999999999</v>
      </c>
      <c r="R177" s="554">
        <f t="shared" si="25"/>
        <v>130.16999999999999</v>
      </c>
      <c r="S177" s="465">
        <f>IF(R177&lt;=0,0,[1]!srRng2E(Q$6,R177))</f>
        <v>26.784077892325314</v>
      </c>
      <c r="T177" s="482">
        <f t="shared" si="26"/>
        <v>0.715922107674686</v>
      </c>
      <c r="U177" s="466" t="e">
        <f t="shared" si="27"/>
        <v>#N/A</v>
      </c>
      <c r="V177" s="466">
        <f t="shared" si="28"/>
        <v>28.63688430698744</v>
      </c>
      <c r="W177" s="466" t="e">
        <f t="shared" si="29"/>
        <v>#N/A</v>
      </c>
      <c r="Y177" s="35">
        <f t="shared" si="36"/>
        <v>186</v>
      </c>
      <c r="Z177" s="466">
        <f>[1]!srIx2Val(AA$6,Y177,1)</f>
        <v>23.80952380952381</v>
      </c>
      <c r="AA177" s="572">
        <f>[1]!srIx2Val(AA$6,Y177,5)</f>
        <v>312.58</v>
      </c>
      <c r="AB177" s="554">
        <f t="shared" si="30"/>
        <v>307.58</v>
      </c>
      <c r="AC177" s="465">
        <f>IF(AB177&lt;=0,0,[1]!srRng2E(AA$6,AB177))</f>
        <v>23.533247135010885</v>
      </c>
      <c r="AD177" s="466">
        <f t="shared" si="31"/>
        <v>0.27627667451292481</v>
      </c>
      <c r="AE177" s="466" t="e">
        <f t="shared" si="32"/>
        <v>#N/A</v>
      </c>
      <c r="AF177" s="466">
        <f t="shared" si="33"/>
        <v>23.207240659085684</v>
      </c>
      <c r="AG177" s="466" t="e">
        <f t="shared" si="34"/>
        <v>#N/A</v>
      </c>
    </row>
    <row r="178" spans="15:33">
      <c r="O178" s="35">
        <f t="shared" si="35"/>
        <v>187</v>
      </c>
      <c r="P178" s="466">
        <f>[1]!srIx2Val(Q$6,O178,1)</f>
        <v>30</v>
      </c>
      <c r="Q178" s="493">
        <f>[1]!srIx2Val(Q$6,O178,5)</f>
        <v>153.54</v>
      </c>
      <c r="R178" s="554">
        <f t="shared" si="25"/>
        <v>148.54</v>
      </c>
      <c r="S178" s="465">
        <f>IF(R178&lt;=0,0,[1]!srRng2E(Q$6,R178))</f>
        <v>29.319542732716386</v>
      </c>
      <c r="T178" s="482">
        <f t="shared" si="26"/>
        <v>0.68045726728361444</v>
      </c>
      <c r="U178" s="466" t="e">
        <f t="shared" si="27"/>
        <v>#N/A</v>
      </c>
      <c r="V178" s="466">
        <f t="shared" si="28"/>
        <v>27.218290691344578</v>
      </c>
      <c r="W178" s="466" t="e">
        <f t="shared" si="29"/>
        <v>#N/A</v>
      </c>
      <c r="Y178" s="35">
        <f t="shared" si="36"/>
        <v>187</v>
      </c>
      <c r="Z178" s="466">
        <f>[1]!srIx2Val(AA$6,Y178,1)</f>
        <v>26.785714285714285</v>
      </c>
      <c r="AA178" s="572">
        <f>[1]!srIx2Val(AA$6,Y178,5)</f>
        <v>370.38</v>
      </c>
      <c r="AB178" s="554">
        <f t="shared" si="30"/>
        <v>365.38</v>
      </c>
      <c r="AC178" s="465">
        <f>IF(AB178&lt;=0,0,[1]!srRng2E(AA$6,AB178))</f>
        <v>26.528258362168398</v>
      </c>
      <c r="AD178" s="466">
        <f t="shared" si="31"/>
        <v>0.25745592354588709</v>
      </c>
      <c r="AE178" s="466" t="e">
        <f t="shared" si="32"/>
        <v>#N/A</v>
      </c>
      <c r="AF178" s="466">
        <f t="shared" si="33"/>
        <v>21.626297577854515</v>
      </c>
      <c r="AG178" s="466" t="e">
        <f t="shared" si="34"/>
        <v>#N/A</v>
      </c>
    </row>
    <row r="179" spans="15:33">
      <c r="O179" s="35">
        <f t="shared" si="35"/>
        <v>188</v>
      </c>
      <c r="P179" s="466">
        <f>[1]!srIx2Val(Q$6,O179,1)</f>
        <v>32.5</v>
      </c>
      <c r="Q179" s="493">
        <f>[1]!srIx2Val(Q$6,O179,5)</f>
        <v>172.82</v>
      </c>
      <c r="R179" s="554">
        <f t="shared" si="25"/>
        <v>167.82</v>
      </c>
      <c r="S179" s="465">
        <f>IF(R179&lt;=0,0,[1]!srRng2E(Q$6,R179))</f>
        <v>31.851659751037346</v>
      </c>
      <c r="T179" s="482">
        <f t="shared" si="26"/>
        <v>0.64834024896265419</v>
      </c>
      <c r="U179" s="466" t="e">
        <f t="shared" si="27"/>
        <v>#N/A</v>
      </c>
      <c r="V179" s="466">
        <f t="shared" si="28"/>
        <v>25.933609958506167</v>
      </c>
      <c r="W179" s="466" t="e">
        <f t="shared" si="29"/>
        <v>#N/A</v>
      </c>
      <c r="Y179" s="35">
        <f t="shared" si="36"/>
        <v>188</v>
      </c>
      <c r="Z179" s="466">
        <f>[1]!srIx2Val(AA$6,Y179,1)</f>
        <v>29.761904761904763</v>
      </c>
      <c r="AA179" s="572">
        <f>[1]!srIx2Val(AA$6,Y179,5)</f>
        <v>432.23</v>
      </c>
      <c r="AB179" s="554">
        <f t="shared" si="30"/>
        <v>427.23</v>
      </c>
      <c r="AC179" s="465">
        <f>IF(AB179&lt;=0,0,[1]!srRng2E(AA$6,AB179))</f>
        <v>29.52130731031297</v>
      </c>
      <c r="AD179" s="466">
        <f t="shared" si="31"/>
        <v>0.24059745159179258</v>
      </c>
      <c r="AE179" s="466" t="e">
        <f t="shared" si="32"/>
        <v>#N/A</v>
      </c>
      <c r="AF179" s="466">
        <f t="shared" si="33"/>
        <v>20.210185933710576</v>
      </c>
      <c r="AG179" s="466" t="e">
        <f t="shared" si="34"/>
        <v>#N/A</v>
      </c>
    </row>
    <row r="180" spans="15:33">
      <c r="O180" s="35">
        <f t="shared" si="35"/>
        <v>189</v>
      </c>
      <c r="P180" s="466">
        <f>[1]!srIx2Val(Q$6,O180,1)</f>
        <v>35</v>
      </c>
      <c r="Q180" s="493">
        <f>[1]!srIx2Val(Q$6,O180,5)</f>
        <v>193.07</v>
      </c>
      <c r="R180" s="554">
        <f t="shared" si="25"/>
        <v>188.07</v>
      </c>
      <c r="S180" s="465">
        <f>IF(R180&lt;=0,0,[1]!srRng2E(Q$6,R180))</f>
        <v>34.382716049382715</v>
      </c>
      <c r="T180" s="482">
        <f t="shared" si="26"/>
        <v>0.61728395061728492</v>
      </c>
      <c r="U180" s="466" t="e">
        <f t="shared" si="27"/>
        <v>#N/A</v>
      </c>
      <c r="V180" s="466">
        <f t="shared" si="28"/>
        <v>24.691358024691397</v>
      </c>
      <c r="W180" s="466" t="e">
        <f t="shared" si="29"/>
        <v>#N/A</v>
      </c>
      <c r="Y180" s="35">
        <f t="shared" si="36"/>
        <v>189</v>
      </c>
      <c r="Z180" s="466">
        <f>[1]!srIx2Val(AA$6,Y180,1)</f>
        <v>32.738095238095241</v>
      </c>
      <c r="AA180" s="572">
        <f>[1]!srIx2Val(AA$6,Y180,5)</f>
        <v>497.99</v>
      </c>
      <c r="AB180" s="554">
        <f t="shared" si="30"/>
        <v>492.99</v>
      </c>
      <c r="AC180" s="465">
        <f>IF(AB180&lt;=0,0,[1]!srRng2E(AA$6,AB180))</f>
        <v>32.511803383153747</v>
      </c>
      <c r="AD180" s="466">
        <f t="shared" si="31"/>
        <v>0.2262918549414934</v>
      </c>
      <c r="AE180" s="466" t="e">
        <f t="shared" si="32"/>
        <v>#N/A</v>
      </c>
      <c r="AF180" s="466">
        <f t="shared" si="33"/>
        <v>19.008515815085445</v>
      </c>
      <c r="AG180" s="466" t="e">
        <f t="shared" si="34"/>
        <v>#N/A</v>
      </c>
    </row>
    <row r="181" spans="15:33">
      <c r="O181" s="35">
        <f t="shared" si="35"/>
        <v>190</v>
      </c>
      <c r="P181" s="466">
        <f>[1]!srIx2Val(Q$6,O181,1)</f>
        <v>37.5</v>
      </c>
      <c r="Q181" s="493">
        <f>[1]!srIx2Val(Q$6,O181,5)</f>
        <v>214.28</v>
      </c>
      <c r="R181" s="554">
        <f t="shared" si="25"/>
        <v>209.28</v>
      </c>
      <c r="S181" s="465">
        <f>IF(R181&lt;=0,0,[1]!srRng2E(Q$6,R181))</f>
        <v>36.91065535124941</v>
      </c>
      <c r="T181" s="482">
        <f t="shared" si="26"/>
        <v>0.58934464875058978</v>
      </c>
      <c r="U181" s="466" t="e">
        <f t="shared" si="27"/>
        <v>#N/A</v>
      </c>
      <c r="V181" s="466">
        <f t="shared" si="28"/>
        <v>23.573785950023591</v>
      </c>
      <c r="W181" s="466" t="e">
        <f t="shared" si="29"/>
        <v>#N/A</v>
      </c>
      <c r="Y181" s="35">
        <f t="shared" si="36"/>
        <v>190</v>
      </c>
      <c r="Z181" s="466">
        <f>[1]!srIx2Val(AA$6,Y181,1)</f>
        <v>35.714285714285715</v>
      </c>
      <c r="AA181" s="572">
        <f>[1]!srIx2Val(AA$6,Y181,5)</f>
        <v>567.77</v>
      </c>
      <c r="AB181" s="554">
        <f t="shared" si="30"/>
        <v>562.77</v>
      </c>
      <c r="AC181" s="465">
        <f>IF(AB181&lt;=0,0,[1]!srRng2E(AA$6,AB181))</f>
        <v>35.501030449439739</v>
      </c>
      <c r="AD181" s="466">
        <f t="shared" si="31"/>
        <v>0.21325526484597646</v>
      </c>
      <c r="AE181" s="466" t="e">
        <f t="shared" si="32"/>
        <v>#N/A</v>
      </c>
      <c r="AF181" s="466">
        <f t="shared" si="33"/>
        <v>17.913442247062022</v>
      </c>
      <c r="AG181" s="466" t="e">
        <f t="shared" si="34"/>
        <v>#N/A</v>
      </c>
    </row>
    <row r="182" spans="15:33">
      <c r="O182" s="35">
        <f t="shared" si="35"/>
        <v>191</v>
      </c>
      <c r="P182" s="466">
        <f>[1]!srIx2Val(Q$6,O182,1)</f>
        <v>40</v>
      </c>
      <c r="Q182" s="493">
        <f>[1]!srIx2Val(Q$6,O182,5)</f>
        <v>236.43</v>
      </c>
      <c r="R182" s="554">
        <f t="shared" si="25"/>
        <v>231.43</v>
      </c>
      <c r="S182" s="465">
        <f>IF(R182&lt;=0,0,[1]!srRng2E(Q$6,R182))</f>
        <v>39.435665914221218</v>
      </c>
      <c r="T182" s="482">
        <f t="shared" si="26"/>
        <v>0.56433408577878197</v>
      </c>
      <c r="U182" s="466" t="e">
        <f t="shared" si="27"/>
        <v>#N/A</v>
      </c>
      <c r="V182" s="466">
        <f t="shared" si="28"/>
        <v>22.573363431151279</v>
      </c>
      <c r="W182" s="466" t="e">
        <f t="shared" si="29"/>
        <v>#N/A</v>
      </c>
      <c r="Y182" s="35">
        <f t="shared" si="36"/>
        <v>191</v>
      </c>
      <c r="Z182" s="466">
        <f>[1]!srIx2Val(AA$6,Y182,1)</f>
        <v>38.69047619047619</v>
      </c>
      <c r="AA182" s="572">
        <f>[1]!srIx2Val(AA$6,Y182,5)</f>
        <v>641.53</v>
      </c>
      <c r="AB182" s="554">
        <f t="shared" si="30"/>
        <v>636.53</v>
      </c>
      <c r="AC182" s="465">
        <f>IF(AB182&lt;=0,0,[1]!srRng2E(AA$6,AB182))</f>
        <v>38.488727920669355</v>
      </c>
      <c r="AD182" s="466">
        <f t="shared" si="31"/>
        <v>0.20174826980683491</v>
      </c>
      <c r="AE182" s="466" t="e">
        <f t="shared" si="32"/>
        <v>#N/A</v>
      </c>
      <c r="AF182" s="466">
        <f t="shared" si="33"/>
        <v>16.946854663774133</v>
      </c>
      <c r="AG182" s="466" t="e">
        <f t="shared" si="34"/>
        <v>#N/A</v>
      </c>
    </row>
    <row r="183" spans="15:33">
      <c r="O183" s="35">
        <f t="shared" si="35"/>
        <v>192</v>
      </c>
      <c r="P183" s="466">
        <f>[1]!srIx2Val(Q$6,O183,1)</f>
        <v>42.5</v>
      </c>
      <c r="Q183" s="493">
        <f>[1]!srIx2Val(Q$6,O183,5)</f>
        <v>259.5</v>
      </c>
      <c r="R183" s="554">
        <f t="shared" si="25"/>
        <v>254.5</v>
      </c>
      <c r="S183" s="465">
        <f>IF(R183&lt;=0,0,[1]!srRng2E(Q$6,R183))</f>
        <v>41.958170784568701</v>
      </c>
      <c r="T183" s="482">
        <f t="shared" si="26"/>
        <v>0.54182921543129936</v>
      </c>
      <c r="U183" s="466" t="e">
        <f t="shared" si="27"/>
        <v>#N/A</v>
      </c>
      <c r="V183" s="466">
        <f t="shared" si="28"/>
        <v>21.673168617251974</v>
      </c>
      <c r="W183" s="466" t="e">
        <f t="shared" si="29"/>
        <v>#N/A</v>
      </c>
      <c r="Y183" s="35">
        <f t="shared" si="36"/>
        <v>192</v>
      </c>
      <c r="Z183" s="466">
        <f>[1]!srIx2Val(AA$6,Y183,1)</f>
        <v>41.666666666666664</v>
      </c>
      <c r="AA183" s="572">
        <f>[1]!srIx2Val(AA$6,Y183,5)</f>
        <v>719.2</v>
      </c>
      <c r="AB183" s="554">
        <f t="shared" si="30"/>
        <v>714.2</v>
      </c>
      <c r="AC183" s="465">
        <f>IF(AB183&lt;=0,0,[1]!srRng2E(AA$6,AB183))</f>
        <v>41.475074644251933</v>
      </c>
      <c r="AD183" s="466">
        <f t="shared" si="31"/>
        <v>0.19159202241473139</v>
      </c>
      <c r="AE183" s="466" t="e">
        <f t="shared" si="32"/>
        <v>#N/A</v>
      </c>
      <c r="AF183" s="466">
        <f t="shared" si="33"/>
        <v>16.093729882837437</v>
      </c>
      <c r="AG183" s="466" t="e">
        <f t="shared" si="34"/>
        <v>#N/A</v>
      </c>
    </row>
    <row r="184" spans="15:33">
      <c r="O184" s="35">
        <f t="shared" si="35"/>
        <v>193</v>
      </c>
      <c r="P184" s="466">
        <f>[1]!srIx2Val(Q$6,O184,1)</f>
        <v>45</v>
      </c>
      <c r="Q184" s="493">
        <f>[1]!srIx2Val(Q$6,O184,5)</f>
        <v>283.47000000000003</v>
      </c>
      <c r="R184" s="554">
        <f t="shared" si="25"/>
        <v>278.47000000000003</v>
      </c>
      <c r="S184" s="465">
        <f>IF(R184&lt;=0,0,[1]!srRng2E(Q$6,R184))</f>
        <v>44.478514810179391</v>
      </c>
      <c r="T184" s="482">
        <f t="shared" si="26"/>
        <v>0.52148518982060921</v>
      </c>
      <c r="U184" s="466" t="e">
        <f t="shared" si="27"/>
        <v>#N/A</v>
      </c>
      <c r="V184" s="466">
        <f t="shared" si="28"/>
        <v>20.859407592824368</v>
      </c>
      <c r="W184" s="466" t="e">
        <f t="shared" si="29"/>
        <v>#N/A</v>
      </c>
      <c r="Y184" s="35">
        <f t="shared" si="36"/>
        <v>193</v>
      </c>
      <c r="Z184" s="466">
        <f>[1]!srIx2Val(AA$6,Y184,1)</f>
        <v>44.642857142857146</v>
      </c>
      <c r="AA184" s="572">
        <f>[1]!srIx2Val(AA$6,Y184,5)</f>
        <v>800.73</v>
      </c>
      <c r="AB184" s="554">
        <f t="shared" si="30"/>
        <v>795.73</v>
      </c>
      <c r="AC184" s="465">
        <f>IF(AB184&lt;=0,0,[1]!srRng2E(AA$6,AB184))</f>
        <v>44.460335955797753</v>
      </c>
      <c r="AD184" s="466">
        <f t="shared" si="31"/>
        <v>0.18252118705939324</v>
      </c>
      <c r="AE184" s="466" t="e">
        <f t="shared" si="32"/>
        <v>#N/A</v>
      </c>
      <c r="AF184" s="466">
        <f t="shared" si="33"/>
        <v>15.331779712989032</v>
      </c>
      <c r="AG184" s="466" t="e">
        <f t="shared" si="34"/>
        <v>#N/A</v>
      </c>
    </row>
    <row r="185" spans="15:33">
      <c r="O185" s="35">
        <f t="shared" si="35"/>
        <v>194</v>
      </c>
      <c r="P185" s="466">
        <f>[1]!srIx2Val(Q$6,O185,1)</f>
        <v>50</v>
      </c>
      <c r="Q185" s="493">
        <f>[1]!srIx2Val(Q$6,O185,5)</f>
        <v>334.13</v>
      </c>
      <c r="R185" s="554">
        <f t="shared" si="25"/>
        <v>329.13</v>
      </c>
      <c r="S185" s="465">
        <f>IF(R185&lt;=0,0,[1]!srRng2E(Q$6,R185))</f>
        <v>49.506514015001976</v>
      </c>
      <c r="T185" s="482">
        <f t="shared" si="26"/>
        <v>0.49348598499802421</v>
      </c>
      <c r="U185" s="466" t="e">
        <f t="shared" si="27"/>
        <v>#N/A</v>
      </c>
      <c r="V185" s="466">
        <f t="shared" si="28"/>
        <v>19.739439399920968</v>
      </c>
      <c r="W185" s="466" t="e">
        <f t="shared" si="29"/>
        <v>#N/A</v>
      </c>
      <c r="Y185" s="35">
        <f t="shared" si="36"/>
        <v>194</v>
      </c>
      <c r="Z185" s="466">
        <f>[1]!srIx2Val(AA$6,Y185,1)</f>
        <v>47.61904761904762</v>
      </c>
      <c r="AA185" s="572">
        <f>[1]!srIx2Val(AA$6,Y185,5)</f>
        <v>886.04</v>
      </c>
      <c r="AB185" s="554">
        <f t="shared" si="30"/>
        <v>881.04</v>
      </c>
      <c r="AC185" s="465">
        <f>IF(AB185&lt;=0,0,[1]!srRng2E(AA$6,AB185))</f>
        <v>47.444613761575432</v>
      </c>
      <c r="AD185" s="466">
        <f t="shared" si="31"/>
        <v>0.17443385747218798</v>
      </c>
      <c r="AE185" s="466" t="e">
        <f t="shared" si="32"/>
        <v>#N/A</v>
      </c>
      <c r="AF185" s="466">
        <f t="shared" si="33"/>
        <v>14.65244402766379</v>
      </c>
      <c r="AG185" s="466" t="e">
        <f t="shared" si="34"/>
        <v>#N/A</v>
      </c>
    </row>
    <row r="186" spans="15:33">
      <c r="O186" s="35">
        <f t="shared" si="35"/>
        <v>195</v>
      </c>
      <c r="P186" s="466">
        <f>[1]!srIx2Val(Q$6,O186,1)</f>
        <v>56.25</v>
      </c>
      <c r="Q186" s="493">
        <f>[1]!srIx2Val(Q$6,O186,5)</f>
        <v>402.53</v>
      </c>
      <c r="R186" s="554">
        <f t="shared" si="25"/>
        <v>397.53</v>
      </c>
      <c r="S186" s="465">
        <f>IF(R186&lt;=0,0,[1]!srRng2E(Q$6,R186))</f>
        <v>55.793128654970758</v>
      </c>
      <c r="T186" s="482">
        <f t="shared" si="26"/>
        <v>0.45687134502924209</v>
      </c>
      <c r="U186" s="466" t="e">
        <f t="shared" si="27"/>
        <v>#N/A</v>
      </c>
      <c r="V186" s="466">
        <f t="shared" si="28"/>
        <v>18.274853801169684</v>
      </c>
      <c r="W186" s="466" t="e">
        <f t="shared" si="29"/>
        <v>#N/A</v>
      </c>
      <c r="Y186" s="35">
        <f t="shared" si="36"/>
        <v>195</v>
      </c>
      <c r="Z186" s="466">
        <f>[1]!srIx2Val(AA$6,Y186,1)</f>
        <v>53.571428571428569</v>
      </c>
      <c r="AA186" s="572">
        <f>[1]!srIx2Val(AA$6,Y186,5)</f>
        <v>1070</v>
      </c>
      <c r="AB186" s="554">
        <f t="shared" si="30"/>
        <v>1065</v>
      </c>
      <c r="AC186" s="465">
        <f>IF(AB186&lt;=0,0,[1]!srRng2E(AA$6,AB186))</f>
        <v>53.409643918450179</v>
      </c>
      <c r="AD186" s="466">
        <f t="shared" si="31"/>
        <v>0.1617846529783904</v>
      </c>
      <c r="AE186" s="466" t="e">
        <f t="shared" si="32"/>
        <v>#N/A</v>
      </c>
      <c r="AF186" s="466">
        <f t="shared" si="33"/>
        <v>13.589910850184793</v>
      </c>
      <c r="AG186" s="466" t="e">
        <f t="shared" si="34"/>
        <v>#N/A</v>
      </c>
    </row>
    <row r="187" spans="15:33">
      <c r="O187" s="35">
        <f t="shared" si="35"/>
        <v>196</v>
      </c>
      <c r="P187" s="466">
        <f>[1]!srIx2Val(Q$6,O187,1)</f>
        <v>62.5</v>
      </c>
      <c r="Q187" s="493">
        <f>[1]!srIx2Val(Q$6,O187,5)</f>
        <v>476.51</v>
      </c>
      <c r="R187" s="554">
        <f t="shared" si="25"/>
        <v>471.51</v>
      </c>
      <c r="S187" s="465">
        <f>IF(R187&lt;=0,0,[1]!srRng2E(Q$6,R187))</f>
        <v>62.077588537442551</v>
      </c>
      <c r="T187" s="482">
        <f t="shared" si="26"/>
        <v>0.42241146255744866</v>
      </c>
      <c r="U187" s="466" t="e">
        <f t="shared" si="27"/>
        <v>#N/A</v>
      </c>
      <c r="V187" s="466">
        <f t="shared" si="28"/>
        <v>16.896458502297946</v>
      </c>
      <c r="W187" s="466" t="e">
        <f t="shared" si="29"/>
        <v>#N/A</v>
      </c>
      <c r="Y187" s="35">
        <f t="shared" si="36"/>
        <v>196</v>
      </c>
      <c r="Z187" s="466">
        <f>[1]!srIx2Val(AA$6,Y187,1)</f>
        <v>59.523809523809526</v>
      </c>
      <c r="AA187" s="572">
        <f>[1]!srIx2Val(AA$6,Y187,5)</f>
        <v>1260</v>
      </c>
      <c r="AB187" s="554">
        <f t="shared" si="30"/>
        <v>1255</v>
      </c>
      <c r="AC187" s="465">
        <f>IF(AB187&lt;=0,0,[1]!srRng2E(AA$6,AB187))</f>
        <v>59.367167919799499</v>
      </c>
      <c r="AD187" s="466">
        <f t="shared" si="31"/>
        <v>0.15664160401002647</v>
      </c>
      <c r="AE187" s="466" t="e">
        <f t="shared" si="32"/>
        <v>#N/A</v>
      </c>
      <c r="AF187" s="466">
        <f t="shared" si="33"/>
        <v>13.157894736842223</v>
      </c>
      <c r="AG187" s="466" t="e">
        <f t="shared" si="34"/>
        <v>#N/A</v>
      </c>
    </row>
    <row r="188" spans="15:33">
      <c r="O188" s="35">
        <f t="shared" si="35"/>
        <v>197</v>
      </c>
      <c r="P188" s="466">
        <f>[1]!srIx2Val(Q$6,O188,1)</f>
        <v>68.75</v>
      </c>
      <c r="Q188" s="493">
        <f>[1]!srIx2Val(Q$6,O188,5)</f>
        <v>555.88</v>
      </c>
      <c r="R188" s="554">
        <f t="shared" si="25"/>
        <v>550.88</v>
      </c>
      <c r="S188" s="465">
        <f>IF(R188&lt;=0,0,[1]!srRng2E(Q$6,R188))</f>
        <v>68.356274410986515</v>
      </c>
      <c r="T188" s="482">
        <f t="shared" si="26"/>
        <v>0.39372558901348498</v>
      </c>
      <c r="U188" s="466" t="e">
        <f t="shared" si="27"/>
        <v>#N/A</v>
      </c>
      <c r="V188" s="466">
        <f t="shared" si="28"/>
        <v>15.749023560539399</v>
      </c>
      <c r="W188" s="466" t="e">
        <f t="shared" si="29"/>
        <v>#N/A</v>
      </c>
      <c r="Y188" s="35">
        <f t="shared" si="36"/>
        <v>197</v>
      </c>
      <c r="Z188" s="466">
        <f>[1]!srIx2Val(AA$6,Y188,1)</f>
        <v>65.476190476190482</v>
      </c>
      <c r="AA188" s="572">
        <f>[1]!srIx2Val(AA$6,Y188,5)</f>
        <v>1470</v>
      </c>
      <c r="AB188" s="554">
        <f t="shared" si="30"/>
        <v>1465</v>
      </c>
      <c r="AC188" s="465">
        <f>IF(AB188&lt;=0,0,[1]!srRng2E(AA$6,AB188))</f>
        <v>65.334467120181415</v>
      </c>
      <c r="AD188" s="466">
        <f t="shared" si="31"/>
        <v>0.14172335600906649</v>
      </c>
      <c r="AE188" s="466" t="e">
        <f t="shared" si="32"/>
        <v>#N/A</v>
      </c>
      <c r="AF188" s="466">
        <f t="shared" si="33"/>
        <v>11.904761904761585</v>
      </c>
      <c r="AG188" s="466" t="e">
        <f t="shared" si="34"/>
        <v>#N/A</v>
      </c>
    </row>
    <row r="189" spans="15:33">
      <c r="O189" s="35">
        <f t="shared" si="35"/>
        <v>198</v>
      </c>
      <c r="P189" s="466">
        <f>[1]!srIx2Val(Q$6,O189,1)</f>
        <v>75</v>
      </c>
      <c r="Q189" s="493">
        <f>[1]!srIx2Val(Q$6,O189,5)</f>
        <v>640.48</v>
      </c>
      <c r="R189" s="554">
        <f t="shared" si="25"/>
        <v>635.48</v>
      </c>
      <c r="S189" s="465">
        <f>IF(R189&lt;=0,0,[1]!srRng2E(Q$6,R189))</f>
        <v>74.630614657210401</v>
      </c>
      <c r="T189" s="482">
        <f t="shared" si="26"/>
        <v>0.36938534278959878</v>
      </c>
      <c r="U189" s="466" t="e">
        <f t="shared" si="27"/>
        <v>#N/A</v>
      </c>
      <c r="V189" s="466">
        <f t="shared" si="28"/>
        <v>14.775413711583951</v>
      </c>
      <c r="W189" s="466" t="e">
        <f t="shared" si="29"/>
        <v>#N/A</v>
      </c>
      <c r="Y189" s="35">
        <f t="shared" si="36"/>
        <v>198</v>
      </c>
      <c r="Z189" s="466">
        <f>[1]!srIx2Val(AA$6,Y189,1)</f>
        <v>71.428571428571431</v>
      </c>
      <c r="AA189" s="572">
        <f>[1]!srIx2Val(AA$6,Y189,5)</f>
        <v>1700</v>
      </c>
      <c r="AB189" s="554">
        <f t="shared" si="30"/>
        <v>1695</v>
      </c>
      <c r="AC189" s="465">
        <f>IF(AB189&lt;=0,0,[1]!srRng2E(AA$6,AB189))</f>
        <v>71.299171842650111</v>
      </c>
      <c r="AD189" s="466">
        <f t="shared" si="31"/>
        <v>0.12939958592131973</v>
      </c>
      <c r="AE189" s="466" t="e">
        <f t="shared" si="32"/>
        <v>#N/A</v>
      </c>
      <c r="AF189" s="466">
        <f t="shared" si="33"/>
        <v>10.869565217390857</v>
      </c>
      <c r="AG189" s="466" t="e">
        <f t="shared" si="34"/>
        <v>#N/A</v>
      </c>
    </row>
    <row r="190" spans="15:33">
      <c r="O190" s="35">
        <f t="shared" si="35"/>
        <v>199</v>
      </c>
      <c r="P190" s="466">
        <f>[1]!srIx2Val(Q$6,O190,1)</f>
        <v>81.25</v>
      </c>
      <c r="Q190" s="493">
        <f>[1]!srIx2Val(Q$6,O190,5)</f>
        <v>730.16</v>
      </c>
      <c r="R190" s="554">
        <f t="shared" si="25"/>
        <v>725.16</v>
      </c>
      <c r="S190" s="465">
        <f>IF(R190&lt;=0,0,[1]!srRng2E(Q$6,R190))</f>
        <v>80.901538804638719</v>
      </c>
      <c r="T190" s="482">
        <f t="shared" si="26"/>
        <v>0.34846119536128128</v>
      </c>
      <c r="U190" s="466" t="e">
        <f t="shared" si="27"/>
        <v>#N/A</v>
      </c>
      <c r="V190" s="466">
        <f t="shared" si="28"/>
        <v>13.938447814451251</v>
      </c>
      <c r="W190" s="466" t="e">
        <f t="shared" si="29"/>
        <v>#N/A</v>
      </c>
      <c r="Y190" s="35">
        <f t="shared" si="36"/>
        <v>199</v>
      </c>
      <c r="Z190" s="466">
        <f>[1]!srIx2Val(AA$6,Y190,1)</f>
        <v>77.38095238095238</v>
      </c>
      <c r="AA190" s="572">
        <f>[1]!srIx2Val(AA$6,Y190,5)</f>
        <v>1940</v>
      </c>
      <c r="AB190" s="554">
        <f t="shared" si="30"/>
        <v>1935</v>
      </c>
      <c r="AC190" s="465">
        <f>IF(AB190&lt;=0,0,[1]!srRng2E(AA$6,AB190))</f>
        <v>77.256944444444443</v>
      </c>
      <c r="AD190" s="466">
        <f t="shared" si="31"/>
        <v>0.12400793650793673</v>
      </c>
      <c r="AE190" s="466" t="e">
        <f t="shared" si="32"/>
        <v>#N/A</v>
      </c>
      <c r="AF190" s="466">
        <f t="shared" si="33"/>
        <v>10.416666666666686</v>
      </c>
      <c r="AG190" s="466" t="e">
        <f t="shared" si="34"/>
        <v>#N/A</v>
      </c>
    </row>
    <row r="191" spans="15:33">
      <c r="O191" s="35">
        <f t="shared" si="35"/>
        <v>200</v>
      </c>
      <c r="P191" s="466">
        <f>[1]!srIx2Val(Q$6,O191,1)</f>
        <v>87.5</v>
      </c>
      <c r="Q191" s="493">
        <f>[1]!srIx2Val(Q$6,O191,5)</f>
        <v>824.77</v>
      </c>
      <c r="R191" s="554">
        <f t="shared" si="25"/>
        <v>819.77</v>
      </c>
      <c r="S191" s="465">
        <f>IF(R191&lt;=0,0,[1]!srRng2E(Q$6,R191))</f>
        <v>87.169696649402809</v>
      </c>
      <c r="T191" s="482">
        <f t="shared" si="26"/>
        <v>0.33030335059719107</v>
      </c>
      <c r="U191" s="466" t="e">
        <f t="shared" si="27"/>
        <v>#N/A</v>
      </c>
      <c r="V191" s="466">
        <f t="shared" si="28"/>
        <v>13.212134023887643</v>
      </c>
      <c r="W191" s="466" t="e">
        <f t="shared" si="29"/>
        <v>#N/A</v>
      </c>
      <c r="Y191" s="35">
        <f t="shared" si="36"/>
        <v>200</v>
      </c>
      <c r="Z191" s="466">
        <f>[1]!srIx2Val(AA$6,Y191,1)</f>
        <v>83.333333333333329</v>
      </c>
      <c r="AA191" s="572">
        <f>[1]!srIx2Val(AA$6,Y191,5)</f>
        <v>2190</v>
      </c>
      <c r="AB191" s="554">
        <f t="shared" si="30"/>
        <v>2185</v>
      </c>
      <c r="AC191" s="465">
        <f>IF(AB191&lt;=0,0,[1]!srRng2E(AA$6,AB191))</f>
        <v>83.214285714285708</v>
      </c>
      <c r="AD191" s="466">
        <f t="shared" si="31"/>
        <v>0.1190476190476204</v>
      </c>
      <c r="AE191" s="466" t="e">
        <f t="shared" si="32"/>
        <v>#N/A</v>
      </c>
      <c r="AF191" s="466">
        <f t="shared" si="33"/>
        <v>10.000000000000114</v>
      </c>
      <c r="AG191" s="466" t="e">
        <f t="shared" si="34"/>
        <v>#N/A</v>
      </c>
    </row>
    <row r="192" spans="15:33">
      <c r="O192" s="35">
        <f t="shared" si="35"/>
        <v>201</v>
      </c>
      <c r="P192" s="466">
        <f>[1]!srIx2Val(Q$6,O192,1)</f>
        <v>93.75</v>
      </c>
      <c r="Q192" s="493">
        <f>[1]!srIx2Val(Q$6,O192,5)</f>
        <v>924.18</v>
      </c>
      <c r="R192" s="554">
        <f t="shared" si="25"/>
        <v>919.18</v>
      </c>
      <c r="S192" s="465">
        <f>IF(R192&lt;=0,0,[1]!srRng2E(Q$6,R192))</f>
        <v>93.435645307313152</v>
      </c>
      <c r="T192" s="482">
        <f t="shared" si="26"/>
        <v>0.31435469268684813</v>
      </c>
      <c r="U192" s="466" t="e">
        <f t="shared" si="27"/>
        <v>#N/A</v>
      </c>
      <c r="V192" s="466">
        <f t="shared" si="28"/>
        <v>12.574187707473925</v>
      </c>
      <c r="W192" s="466" t="e">
        <f t="shared" si="29"/>
        <v>#N/A</v>
      </c>
      <c r="Y192" s="35">
        <f t="shared" si="36"/>
        <v>201</v>
      </c>
      <c r="Z192" s="466">
        <f>[1]!srIx2Val(AA$6,Y192,1)</f>
        <v>95.238095238095241</v>
      </c>
      <c r="AA192" s="572">
        <f>[1]!srIx2Val(AA$6,Y192,5)</f>
        <v>2720</v>
      </c>
      <c r="AB192" s="554">
        <f t="shared" si="30"/>
        <v>2715</v>
      </c>
      <c r="AC192" s="465">
        <f>IF(AB192&lt;=0,0,[1]!srRng2E(AA$6,AB192))</f>
        <v>95.125786163522008</v>
      </c>
      <c r="AD192" s="466">
        <f t="shared" si="31"/>
        <v>0.11230907457323269</v>
      </c>
      <c r="AE192" s="466" t="e">
        <f t="shared" si="32"/>
        <v>#N/A</v>
      </c>
      <c r="AF192" s="466">
        <f t="shared" si="33"/>
        <v>9.4339622641515462</v>
      </c>
      <c r="AG192" s="466" t="e">
        <f t="shared" si="34"/>
        <v>#N/A</v>
      </c>
    </row>
    <row r="193" spans="15:33">
      <c r="O193" s="35">
        <f t="shared" si="35"/>
        <v>202</v>
      </c>
      <c r="P193" s="555">
        <f>[1]!srIx2Val(Q$6,O193,1)</f>
        <v>100</v>
      </c>
      <c r="Q193" s="493">
        <f>[1]!srIx2Val(Q$6,O193,5)</f>
        <v>1030</v>
      </c>
      <c r="R193" s="554">
        <f t="shared" si="25"/>
        <v>1025</v>
      </c>
      <c r="S193" s="465">
        <f>IF(R193&lt;=0,0,[1]!srRng2E(Q$6,R193))</f>
        <v>99.704687204687204</v>
      </c>
      <c r="T193" s="482">
        <f t="shared" si="26"/>
        <v>0.29531279531279608</v>
      </c>
      <c r="U193" s="466" t="e">
        <f t="shared" si="27"/>
        <v>#N/A</v>
      </c>
      <c r="V193" s="466">
        <f t="shared" si="28"/>
        <v>11.812511812511843</v>
      </c>
      <c r="W193" s="466" t="e">
        <f t="shared" si="29"/>
        <v>#N/A</v>
      </c>
      <c r="Y193" s="35">
        <f t="shared" si="36"/>
        <v>202</v>
      </c>
      <c r="Z193" s="555">
        <f>[1]!srIx2Val(AA$6,Y193,1)</f>
        <v>107.14285714285714</v>
      </c>
      <c r="AA193" s="572">
        <f>[1]!srIx2Val(AA$6,Y193,5)</f>
        <v>3310</v>
      </c>
      <c r="AB193" s="554">
        <f t="shared" si="30"/>
        <v>3305</v>
      </c>
      <c r="AC193" s="465">
        <f>IF(AB193&lt;=0,0,[1]!srRng2E(AA$6,AB193))</f>
        <v>107.04196933010492</v>
      </c>
      <c r="AD193" s="466">
        <f t="shared" si="31"/>
        <v>0.10088781275221947</v>
      </c>
      <c r="AE193" s="466" t="e">
        <f t="shared" si="32"/>
        <v>#N/A</v>
      </c>
      <c r="AF193" s="466">
        <f t="shared" si="33"/>
        <v>8.4745762711864359</v>
      </c>
      <c r="AG193" s="466" t="e">
        <f t="shared" si="34"/>
        <v>#N/A</v>
      </c>
    </row>
    <row r="194" spans="15:33">
      <c r="O194" s="35">
        <f t="shared" si="35"/>
        <v>203</v>
      </c>
      <c r="P194" s="555">
        <f>[1]!srIx2Val(Q$6,O194,1)</f>
        <v>112.5</v>
      </c>
      <c r="Q194" s="493">
        <f>[1]!srIx2Val(Q$6,O194,5)</f>
        <v>1250</v>
      </c>
      <c r="R194" s="554">
        <f t="shared" si="25"/>
        <v>1245</v>
      </c>
      <c r="S194" s="465">
        <f>IF(R194&lt;=0,0,[1]!srRng2E(Q$6,R194))</f>
        <v>112.21590909090909</v>
      </c>
      <c r="T194" s="482">
        <f t="shared" si="26"/>
        <v>0.28409090909090651</v>
      </c>
      <c r="U194" s="466" t="e">
        <f t="shared" si="27"/>
        <v>#N/A</v>
      </c>
      <c r="V194" s="466">
        <f t="shared" si="28"/>
        <v>11.36363636363626</v>
      </c>
      <c r="W194" s="466" t="e">
        <f t="shared" si="29"/>
        <v>#N/A</v>
      </c>
      <c r="Y194" s="35">
        <f t="shared" si="36"/>
        <v>203</v>
      </c>
      <c r="Z194" s="555">
        <f>[1]!srIx2Val(AA$6,Y194,1)</f>
        <v>119.04761904761905</v>
      </c>
      <c r="AA194" s="572">
        <f>[1]!srIx2Val(AA$6,Y194,5)</f>
        <v>3940</v>
      </c>
      <c r="AB194" s="554">
        <f t="shared" si="30"/>
        <v>3935</v>
      </c>
      <c r="AC194" s="465">
        <f>IF(AB194&lt;=0,0,[1]!srRng2E(AA$6,AB194))</f>
        <v>118.95313681027967</v>
      </c>
      <c r="AD194" s="466">
        <f t="shared" si="31"/>
        <v>9.4482237339377662E-2</v>
      </c>
      <c r="AE194" s="466" t="e">
        <f t="shared" si="32"/>
        <v>#N/A</v>
      </c>
      <c r="AF194" s="466">
        <f t="shared" si="33"/>
        <v>7.9365079365077236</v>
      </c>
      <c r="AG194" s="466" t="e">
        <f t="shared" si="34"/>
        <v>#N/A</v>
      </c>
    </row>
    <row r="195" spans="15:33">
      <c r="O195" s="35">
        <f t="shared" si="35"/>
        <v>204</v>
      </c>
      <c r="P195" s="555">
        <f>[1]!srIx2Val(Q$6,O195,1)</f>
        <v>125</v>
      </c>
      <c r="Q195" s="493">
        <f>[1]!srIx2Val(Q$6,O195,5)</f>
        <v>1490</v>
      </c>
      <c r="R195" s="554">
        <f t="shared" si="25"/>
        <v>1485</v>
      </c>
      <c r="S195" s="465">
        <f>IF(R195&lt;=0,0,[1]!srRng2E(Q$6,R195))</f>
        <v>124.73958333333333</v>
      </c>
      <c r="T195" s="482">
        <f t="shared" si="26"/>
        <v>0.2604166666666714</v>
      </c>
      <c r="U195" s="466" t="e">
        <f t="shared" si="27"/>
        <v>#N/A</v>
      </c>
      <c r="V195" s="466">
        <f t="shared" si="28"/>
        <v>10.416666666666856</v>
      </c>
      <c r="W195" s="466" t="e">
        <f t="shared" si="29"/>
        <v>#N/A</v>
      </c>
      <c r="Y195" s="35">
        <f t="shared" si="36"/>
        <v>204</v>
      </c>
      <c r="Z195" s="555">
        <f>[1]!srIx2Val(AA$6,Y195,1)</f>
        <v>130.95238095238096</v>
      </c>
      <c r="AA195" s="572">
        <f>[1]!srIx2Val(AA$6,Y195,5)</f>
        <v>4620</v>
      </c>
      <c r="AB195" s="554">
        <f t="shared" si="30"/>
        <v>4615</v>
      </c>
      <c r="AC195" s="465">
        <f>IF(AB195&lt;=0,0,[1]!srRng2E(AA$6,AB195))</f>
        <v>130.86484593837537</v>
      </c>
      <c r="AD195" s="466">
        <f t="shared" si="31"/>
        <v>8.7535014005595713E-2</v>
      </c>
      <c r="AE195" s="466" t="e">
        <f t="shared" si="32"/>
        <v>#N/A</v>
      </c>
      <c r="AF195" s="466">
        <f t="shared" si="33"/>
        <v>7.3529411764700399</v>
      </c>
      <c r="AG195" s="466" t="e">
        <f t="shared" si="34"/>
        <v>#N/A</v>
      </c>
    </row>
    <row r="196" spans="15:33">
      <c r="O196" s="35">
        <f t="shared" si="35"/>
        <v>205</v>
      </c>
      <c r="P196" s="555">
        <f>[1]!srIx2Val(Q$6,O196,1)</f>
        <v>137.5</v>
      </c>
      <c r="Q196" s="493">
        <f>[1]!srIx2Val(Q$6,O196,5)</f>
        <v>1740</v>
      </c>
      <c r="R196" s="554">
        <f t="shared" si="25"/>
        <v>1735</v>
      </c>
      <c r="S196" s="465">
        <f>IF(R196&lt;=0,0,[1]!srRng2E(Q$6,R196))</f>
        <v>137.25</v>
      </c>
      <c r="T196" s="482">
        <f t="shared" si="26"/>
        <v>0.25</v>
      </c>
      <c r="U196" s="466" t="e">
        <f t="shared" si="27"/>
        <v>#N/A</v>
      </c>
      <c r="V196" s="466">
        <f t="shared" si="28"/>
        <v>10</v>
      </c>
      <c r="W196" s="466" t="e">
        <f t="shared" si="29"/>
        <v>#N/A</v>
      </c>
      <c r="Y196" s="35">
        <f t="shared" si="36"/>
        <v>205</v>
      </c>
      <c r="Z196" s="555">
        <f>[1]!srIx2Val(AA$6,Y196,1)</f>
        <v>142.85714285714286</v>
      </c>
      <c r="AA196" s="572">
        <f>[1]!srIx2Val(AA$6,Y196,5)</f>
        <v>5340</v>
      </c>
      <c r="AB196" s="554">
        <f t="shared" si="30"/>
        <v>5335</v>
      </c>
      <c r="AC196" s="465">
        <f>IF(AB196&lt;=0,0,[1]!srRng2E(AA$6,AB196))</f>
        <v>142.77447089947091</v>
      </c>
      <c r="AD196" s="466">
        <f t="shared" si="31"/>
        <v>8.2671957671948348E-2</v>
      </c>
      <c r="AE196" s="466" t="e">
        <f t="shared" si="32"/>
        <v>#N/A</v>
      </c>
      <c r="AF196" s="466">
        <f t="shared" si="33"/>
        <v>6.9444444444436613</v>
      </c>
      <c r="AG196" s="466" t="e">
        <f t="shared" si="34"/>
        <v>#N/A</v>
      </c>
    </row>
    <row r="197" spans="15:33">
      <c r="O197" s="35">
        <f t="shared" si="35"/>
        <v>206</v>
      </c>
      <c r="P197" s="555">
        <f>[1]!srIx2Val(Q$6,O197,1)</f>
        <v>150</v>
      </c>
      <c r="Q197" s="493">
        <f>[1]!srIx2Val(Q$6,O197,5)</f>
        <v>2020</v>
      </c>
      <c r="R197" s="554">
        <f t="shared" si="25"/>
        <v>2015</v>
      </c>
      <c r="S197" s="465">
        <f>IF(R197&lt;=0,0,[1]!srRng2E(Q$6,R197))</f>
        <v>149.77678571428572</v>
      </c>
      <c r="T197" s="482">
        <f t="shared" si="26"/>
        <v>0.22321428571427759</v>
      </c>
      <c r="U197" s="466" t="e">
        <f t="shared" si="27"/>
        <v>#N/A</v>
      </c>
      <c r="V197" s="466">
        <f t="shared" si="28"/>
        <v>8.9285714285711038</v>
      </c>
      <c r="W197" s="466" t="e">
        <f t="shared" si="29"/>
        <v>#N/A</v>
      </c>
      <c r="Y197" s="35">
        <f t="shared" si="36"/>
        <v>206</v>
      </c>
      <c r="Z197" s="555">
        <f>[1]!srIx2Val(AA$6,Y197,1)</f>
        <v>154.76190476190476</v>
      </c>
      <c r="AA197" s="572">
        <f>[1]!srIx2Val(AA$6,Y197,5)</f>
        <v>6110</v>
      </c>
      <c r="AB197" s="554">
        <f t="shared" si="30"/>
        <v>6105</v>
      </c>
      <c r="AC197" s="465">
        <f>IF(AB197&lt;=0,0,[1]!srRng2E(AA$6,AB197))</f>
        <v>154.68460111317253</v>
      </c>
      <c r="AD197" s="466">
        <f t="shared" si="31"/>
        <v>7.7303648732225838E-2</v>
      </c>
      <c r="AE197" s="466" t="e">
        <f t="shared" si="32"/>
        <v>#N/A</v>
      </c>
      <c r="AF197" s="466">
        <f t="shared" si="33"/>
        <v>6.4935064935069704</v>
      </c>
      <c r="AG197" s="466" t="e">
        <f t="shared" si="34"/>
        <v>#N/A</v>
      </c>
    </row>
    <row r="198" spans="15:33">
      <c r="O198" s="35">
        <f t="shared" si="35"/>
        <v>207</v>
      </c>
      <c r="P198" s="555">
        <f>[1]!srIx2Val(Q$6,O198,1)</f>
        <v>162.5</v>
      </c>
      <c r="Q198" s="493">
        <f>[1]!srIx2Val(Q$6,O198,5)</f>
        <v>2300</v>
      </c>
      <c r="R198" s="554">
        <f t="shared" si="25"/>
        <v>2295</v>
      </c>
      <c r="S198" s="465">
        <f>IF(R198&lt;=0,0,[1]!srRng2E(Q$6,R198))</f>
        <v>162.27678571428572</v>
      </c>
      <c r="T198" s="482">
        <f t="shared" si="26"/>
        <v>0.22321428571427759</v>
      </c>
      <c r="U198" s="466" t="e">
        <f t="shared" si="27"/>
        <v>#N/A</v>
      </c>
      <c r="V198" s="466">
        <f t="shared" si="28"/>
        <v>8.9285714285711038</v>
      </c>
      <c r="W198" s="466" t="e">
        <f t="shared" si="29"/>
        <v>#N/A</v>
      </c>
      <c r="Y198" s="35">
        <f t="shared" si="36"/>
        <v>207</v>
      </c>
      <c r="Z198" s="555">
        <f>[1]!srIx2Val(AA$6,Y198,1)</f>
        <v>166.66666666666666</v>
      </c>
      <c r="AA198" s="572">
        <f>[1]!srIx2Val(AA$6,Y198,5)</f>
        <v>6910</v>
      </c>
      <c r="AB198" s="554">
        <f t="shared" si="30"/>
        <v>6905</v>
      </c>
      <c r="AC198" s="465">
        <f>IF(AB198&lt;=0,0,[1]!srRng2E(AA$6,AB198))</f>
        <v>166.5922619047619</v>
      </c>
      <c r="AD198" s="466">
        <f t="shared" si="31"/>
        <v>7.4404761904759198E-2</v>
      </c>
      <c r="AE198" s="466" t="e">
        <f t="shared" si="32"/>
        <v>#N/A</v>
      </c>
      <c r="AF198" s="466">
        <f t="shared" si="33"/>
        <v>6.2499999999997726</v>
      </c>
      <c r="AG198" s="466" t="e">
        <f t="shared" si="34"/>
        <v>#N/A</v>
      </c>
    </row>
    <row r="199" spans="15:33">
      <c r="O199" s="35">
        <f t="shared" si="35"/>
        <v>208</v>
      </c>
      <c r="P199" s="555">
        <f>[1]!srIx2Val(Q$6,O199,1)</f>
        <v>175</v>
      </c>
      <c r="Q199" s="493">
        <f>[1]!srIx2Val(Q$6,O199,5)</f>
        <v>2600</v>
      </c>
      <c r="R199" s="554">
        <f t="shared" si="25"/>
        <v>2595</v>
      </c>
      <c r="S199" s="465">
        <f>IF(R199&lt;=0,0,[1]!srRng2E(Q$6,R199))</f>
        <v>174.79166666666666</v>
      </c>
      <c r="T199" s="482">
        <f t="shared" si="26"/>
        <v>0.20833333333334281</v>
      </c>
      <c r="U199" s="466" t="e">
        <f t="shared" si="27"/>
        <v>#N/A</v>
      </c>
      <c r="V199" s="466">
        <f t="shared" si="28"/>
        <v>8.3333333333337123</v>
      </c>
      <c r="W199" s="466" t="e">
        <f t="shared" si="29"/>
        <v>#N/A</v>
      </c>
      <c r="Y199" s="35">
        <f t="shared" si="36"/>
        <v>208</v>
      </c>
      <c r="Z199" s="555">
        <f>[1]!srIx2Val(AA$6,Y199,1)</f>
        <v>178.57142857142858</v>
      </c>
      <c r="AA199" s="572">
        <f>[1]!srIx2Val(AA$6,Y199,5)</f>
        <v>7750</v>
      </c>
      <c r="AB199" s="554">
        <f t="shared" si="30"/>
        <v>7745</v>
      </c>
      <c r="AC199" s="465">
        <f>IF(AB199&lt;=0,0,[1]!srRng2E(AA$6,AB199))</f>
        <v>178.50056689342404</v>
      </c>
      <c r="AD199" s="466">
        <f t="shared" si="31"/>
        <v>7.0861678004547457E-2</v>
      </c>
      <c r="AE199" s="466" t="e">
        <f t="shared" si="32"/>
        <v>#N/A</v>
      </c>
      <c r="AF199" s="466">
        <f t="shared" si="33"/>
        <v>5.9523809523819864</v>
      </c>
      <c r="AG199" s="466" t="e">
        <f t="shared" si="34"/>
        <v>#N/A</v>
      </c>
    </row>
    <row r="200" spans="15:33">
      <c r="O200" s="35">
        <f t="shared" si="35"/>
        <v>209</v>
      </c>
      <c r="P200" s="555">
        <f>[1]!srIx2Val(Q$6,O200,1)</f>
        <v>200</v>
      </c>
      <c r="Q200" s="493">
        <f>[1]!srIx2Val(Q$6,O200,5)</f>
        <v>3240</v>
      </c>
      <c r="R200" s="554">
        <f t="shared" si="25"/>
        <v>3235</v>
      </c>
      <c r="S200" s="465">
        <f>IF(R200&lt;=0,0,[1]!srRng2E(Q$6,R200))</f>
        <v>199.8046875</v>
      </c>
      <c r="T200" s="482">
        <f t="shared" si="26"/>
        <v>0.1953125</v>
      </c>
      <c r="U200" s="466" t="e">
        <f t="shared" si="27"/>
        <v>#N/A</v>
      </c>
      <c r="V200" s="466">
        <f t="shared" si="28"/>
        <v>7.8125</v>
      </c>
      <c r="W200" s="466" t="e">
        <f t="shared" si="29"/>
        <v>#N/A</v>
      </c>
      <c r="Y200" s="35">
        <f t="shared" si="36"/>
        <v>209</v>
      </c>
      <c r="Z200" s="555">
        <f>[1]!srIx2Val(AA$6,Y200,1)</f>
        <v>190.47619047619048</v>
      </c>
      <c r="AA200" s="572">
        <f>[1]!srIx2Val(AA$6,Y200,5)</f>
        <v>8620</v>
      </c>
      <c r="AB200" s="554">
        <f t="shared" si="30"/>
        <v>8615</v>
      </c>
      <c r="AC200" s="465">
        <f>IF(AB200&lt;=0,0,[1]!srRng2E(AA$6,AB200))</f>
        <v>190.40777230432403</v>
      </c>
      <c r="AD200" s="466">
        <f t="shared" si="31"/>
        <v>6.8418171866454713E-2</v>
      </c>
      <c r="AE200" s="466" t="e">
        <f t="shared" si="32"/>
        <v>#N/A</v>
      </c>
      <c r="AF200" s="466">
        <f t="shared" si="33"/>
        <v>5.7471264367821959</v>
      </c>
      <c r="AG200" s="466" t="e">
        <f t="shared" si="34"/>
        <v>#N/A</v>
      </c>
    </row>
    <row r="201" spans="15:33">
      <c r="O201" s="35">
        <f t="shared" si="35"/>
        <v>210</v>
      </c>
      <c r="P201" s="555">
        <f>[1]!srIx2Val(Q$6,O201,1)</f>
        <v>225</v>
      </c>
      <c r="Q201" s="493">
        <f>[1]!srIx2Val(Q$6,O201,5)</f>
        <v>3930</v>
      </c>
      <c r="R201" s="554">
        <f t="shared" si="25"/>
        <v>3925</v>
      </c>
      <c r="S201" s="465">
        <f>IF(R201&lt;=0,0,[1]!srRng2E(Q$6,R201))</f>
        <v>224.81884057971016</v>
      </c>
      <c r="T201" s="482">
        <f t="shared" si="26"/>
        <v>0.18115942028984477</v>
      </c>
      <c r="U201" s="466" t="e">
        <f t="shared" si="27"/>
        <v>#N/A</v>
      </c>
      <c r="V201" s="466">
        <f t="shared" si="28"/>
        <v>7.246376811593791</v>
      </c>
      <c r="W201" s="466" t="e">
        <f t="shared" si="29"/>
        <v>#N/A</v>
      </c>
      <c r="Y201" s="35">
        <f t="shared" si="36"/>
        <v>210</v>
      </c>
      <c r="Z201" s="555">
        <f>[1]!srIx2Val(AA$6,Y201,1)</f>
        <v>202.38095238095238</v>
      </c>
      <c r="AA201" s="572">
        <f>[1]!srIx2Val(AA$6,Y201,5)</f>
        <v>9540</v>
      </c>
      <c r="AB201" s="554">
        <f t="shared" si="30"/>
        <v>9535</v>
      </c>
      <c r="AC201" s="465">
        <f>IF(AB201&lt;=0,0,[1]!srRng2E(AA$6,AB201))</f>
        <v>202.31625258799173</v>
      </c>
      <c r="AD201" s="466">
        <f t="shared" si="31"/>
        <v>6.4699792960652758E-2</v>
      </c>
      <c r="AE201" s="466" t="e">
        <f t="shared" si="32"/>
        <v>#N/A</v>
      </c>
      <c r="AF201" s="466">
        <f t="shared" si="33"/>
        <v>5.4347826086948317</v>
      </c>
      <c r="AG201" s="466" t="e">
        <f t="shared" si="34"/>
        <v>#N/A</v>
      </c>
    </row>
    <row r="202" spans="15:33">
      <c r="O202" s="35">
        <f t="shared" si="35"/>
        <v>211</v>
      </c>
      <c r="P202" s="555">
        <f>[1]!srIx2Val(Q$6,O202,1)</f>
        <v>250</v>
      </c>
      <c r="Q202" s="493">
        <f>[1]!srIx2Val(Q$6,O202,5)</f>
        <v>4670</v>
      </c>
      <c r="R202" s="554">
        <f t="shared" si="25"/>
        <v>4665</v>
      </c>
      <c r="S202" s="465">
        <f>IF(R202&lt;=0,0,[1]!srRng2E(Q$6,R202))</f>
        <v>249.83108108108109</v>
      </c>
      <c r="T202" s="482">
        <f t="shared" si="26"/>
        <v>0.16891891891890509</v>
      </c>
      <c r="U202" s="466" t="e">
        <f t="shared" si="27"/>
        <v>#N/A</v>
      </c>
      <c r="V202" s="466">
        <f t="shared" si="28"/>
        <v>6.7567567567562037</v>
      </c>
      <c r="W202" s="466" t="e">
        <f t="shared" si="29"/>
        <v>#N/A</v>
      </c>
      <c r="Y202" s="35">
        <f t="shared" si="36"/>
        <v>211</v>
      </c>
      <c r="Z202" s="555">
        <f>[1]!srIx2Val(AA$6,Y202,1)</f>
        <v>214.28571428571428</v>
      </c>
      <c r="AA202" s="572">
        <f>[1]!srIx2Val(AA$6,Y202,5)</f>
        <v>10480</v>
      </c>
      <c r="AB202" s="554">
        <f t="shared" si="30"/>
        <v>10475</v>
      </c>
      <c r="AC202" s="465">
        <f>IF(AB202&lt;=0,0,[1]!srRng2E(AA$6,AB202))</f>
        <v>214.2223910840932</v>
      </c>
      <c r="AD202" s="466">
        <f t="shared" si="31"/>
        <v>6.3323201621074077E-2</v>
      </c>
      <c r="AE202" s="466" t="e">
        <f t="shared" si="32"/>
        <v>#N/A</v>
      </c>
      <c r="AF202" s="466">
        <f t="shared" si="33"/>
        <v>5.3191489361702224</v>
      </c>
      <c r="AG202" s="466" t="e">
        <f t="shared" si="34"/>
        <v>#N/A</v>
      </c>
    </row>
    <row r="203" spans="15:33">
      <c r="O203" s="35">
        <f t="shared" si="35"/>
        <v>212</v>
      </c>
      <c r="P203" s="555">
        <f>[1]!srIx2Val(Q$6,O203,1)</f>
        <v>275</v>
      </c>
      <c r="Q203" s="493">
        <f>[1]!srIx2Val(Q$6,O203,5)</f>
        <v>5450</v>
      </c>
      <c r="R203" s="554">
        <f t="shared" ref="R203:R219" si="37">Q203-R$10</f>
        <v>5445</v>
      </c>
      <c r="S203" s="465">
        <f>IF(R203&lt;=0,0,[1]!srRng2E(Q$6,R203))</f>
        <v>274.83974358974359</v>
      </c>
      <c r="T203" s="482">
        <f t="shared" si="26"/>
        <v>0.1602564102564088</v>
      </c>
      <c r="U203" s="466" t="e">
        <f t="shared" si="27"/>
        <v>#N/A</v>
      </c>
      <c r="V203" s="466">
        <f t="shared" si="28"/>
        <v>6.410256410256352</v>
      </c>
      <c r="W203" s="466" t="e">
        <f t="shared" si="29"/>
        <v>#N/A</v>
      </c>
      <c r="Y203" s="35">
        <f t="shared" si="36"/>
        <v>212</v>
      </c>
      <c r="Z203" s="555">
        <f>[1]!srIx2Val(AA$6,Y203,1)</f>
        <v>238.0952380952381</v>
      </c>
      <c r="AA203" s="572">
        <f>[1]!srIx2Val(AA$6,Y203,5)</f>
        <v>12470</v>
      </c>
      <c r="AB203" s="554">
        <f t="shared" si="30"/>
        <v>12465</v>
      </c>
      <c r="AC203" s="465">
        <f>IF(AB203&lt;=0,0,[1]!srRng2E(AA$6,AB203))</f>
        <v>238.03541517109358</v>
      </c>
      <c r="AD203" s="466">
        <f t="shared" si="31"/>
        <v>5.9822924144526723E-2</v>
      </c>
      <c r="AE203" s="466" t="e">
        <f t="shared" si="32"/>
        <v>#N/A</v>
      </c>
      <c r="AF203" s="466">
        <f t="shared" si="33"/>
        <v>5.0251256281402448</v>
      </c>
      <c r="AG203" s="466" t="e">
        <f t="shared" si="34"/>
        <v>#N/A</v>
      </c>
    </row>
    <row r="204" spans="15:33">
      <c r="O204" s="35">
        <f t="shared" si="35"/>
        <v>213</v>
      </c>
      <c r="P204" s="555">
        <f>[1]!srIx2Val(Q$6,O204,1)</f>
        <v>300</v>
      </c>
      <c r="Q204" s="493">
        <f>[1]!srIx2Val(Q$6,O204,5)</f>
        <v>6280</v>
      </c>
      <c r="R204" s="554">
        <f t="shared" si="37"/>
        <v>6275</v>
      </c>
      <c r="S204" s="465">
        <f>IF(R204&lt;=0,0,[1]!srRng2E(Q$6,R204))</f>
        <v>299.84939759036143</v>
      </c>
      <c r="T204" s="482">
        <f t="shared" ref="T204:T219" si="38">IF((R204&lt;=0),NA(),P204-S204)</f>
        <v>0.15060240963856586</v>
      </c>
      <c r="U204" s="466" t="e">
        <f t="shared" ref="U204:U219" si="39">IF((R204&lt;=0),P204-S204,NA())</f>
        <v>#N/A</v>
      </c>
      <c r="V204" s="466">
        <f t="shared" ref="V204:V219" si="40">IF((R204&lt;0),NA(),T204*V$6)</f>
        <v>6.0240963855426344</v>
      </c>
      <c r="W204" s="466" t="e">
        <f t="shared" ref="W204:W219" si="41">IF((R204&lt;0),U204*V$6,NA())</f>
        <v>#N/A</v>
      </c>
      <c r="Y204" s="35">
        <f t="shared" si="36"/>
        <v>213</v>
      </c>
      <c r="Z204" s="555">
        <f>[1]!srIx2Val(AA$6,Y204,1)</f>
        <v>267.85714285714283</v>
      </c>
      <c r="AA204" s="572">
        <f>[1]!srIx2Val(AA$6,Y204,5)</f>
        <v>15120</v>
      </c>
      <c r="AB204" s="554">
        <f t="shared" ref="AB204:AB219" si="42">AA204-AB$10</f>
        <v>15115</v>
      </c>
      <c r="AC204" s="465">
        <f>IF(AB204&lt;=0,0,[1]!srRng2E(AA$6,AB204))</f>
        <v>267.80098831985623</v>
      </c>
      <c r="AD204" s="466">
        <f t="shared" ref="AD204:AD219" si="43">IF((AB204&lt;=0),NA(),Z204-AC204)</f>
        <v>5.6154537286602135E-2</v>
      </c>
      <c r="AE204" s="466" t="e">
        <f t="shared" ref="AE204:AE219" si="44">IF((AB204&lt;=0),Z204-AC204,NA())</f>
        <v>#N/A</v>
      </c>
      <c r="AF204" s="466">
        <f t="shared" ref="AF204:AF219" si="45">IF((AB204&lt;0),NA(),AD204*AF$6)</f>
        <v>4.7169811320745794</v>
      </c>
      <c r="AG204" s="466" t="e">
        <f t="shared" ref="AG204:AG219" si="46">IF((AB204&lt;0),AE204*AF$6,NA())</f>
        <v>#N/A</v>
      </c>
    </row>
    <row r="205" spans="15:33">
      <c r="O205" s="35">
        <f t="shared" ref="O205:O219" si="47">O204+1</f>
        <v>214</v>
      </c>
      <c r="P205" s="555">
        <f>[1]!srIx2Val(Q$6,O205,1)</f>
        <v>325</v>
      </c>
      <c r="Q205" s="493">
        <f>[1]!srIx2Val(Q$6,O205,5)</f>
        <v>7130</v>
      </c>
      <c r="R205" s="554">
        <f t="shared" si="37"/>
        <v>7125</v>
      </c>
      <c r="S205" s="465">
        <f>IF(R205&lt;=0,0,[1]!srRng2E(Q$6,R205))</f>
        <v>324.85294117647061</v>
      </c>
      <c r="T205" s="482">
        <f t="shared" si="38"/>
        <v>0.1470588235293917</v>
      </c>
      <c r="U205" s="466" t="e">
        <f t="shared" si="39"/>
        <v>#N/A</v>
      </c>
      <c r="V205" s="466">
        <f t="shared" si="40"/>
        <v>5.8823529411756681</v>
      </c>
      <c r="W205" s="466" t="e">
        <f t="shared" si="41"/>
        <v>#N/A</v>
      </c>
      <c r="Y205" s="35">
        <f t="shared" si="36"/>
        <v>214</v>
      </c>
      <c r="Z205" s="555">
        <f>[1]!srIx2Val(AA$6,Y205,1)</f>
        <v>297.61904761904759</v>
      </c>
      <c r="AA205" s="572">
        <f>[1]!srIx2Val(AA$6,Y205,5)</f>
        <v>17950</v>
      </c>
      <c r="AB205" s="554">
        <f t="shared" si="42"/>
        <v>17945</v>
      </c>
      <c r="AC205" s="465">
        <f>IF(AB205&lt;=0,0,[1]!srRng2E(AA$6,AB205))</f>
        <v>297.56646474844354</v>
      </c>
      <c r="AD205" s="466">
        <f t="shared" si="43"/>
        <v>5.2582870604055643E-2</v>
      </c>
      <c r="AE205" s="466" t="e">
        <f t="shared" si="44"/>
        <v>#N/A</v>
      </c>
      <c r="AF205" s="466">
        <f t="shared" si="45"/>
        <v>4.416961130740674</v>
      </c>
      <c r="AG205" s="466" t="e">
        <f t="shared" si="46"/>
        <v>#N/A</v>
      </c>
    </row>
    <row r="206" spans="15:33">
      <c r="O206" s="35">
        <f t="shared" si="47"/>
        <v>215</v>
      </c>
      <c r="P206" s="555">
        <f>[1]!srIx2Val(Q$6,O206,1)</f>
        <v>350</v>
      </c>
      <c r="Q206" s="493">
        <f>[1]!srIx2Val(Q$6,O206,5)</f>
        <v>8020</v>
      </c>
      <c r="R206" s="554">
        <f t="shared" si="37"/>
        <v>8015</v>
      </c>
      <c r="S206" s="465">
        <f>IF(R206&lt;=0,0,[1]!srRng2E(Q$6,R206))</f>
        <v>349.85955056179773</v>
      </c>
      <c r="T206" s="482">
        <f t="shared" si="38"/>
        <v>0.14044943820226763</v>
      </c>
      <c r="U206" s="466" t="e">
        <f t="shared" si="39"/>
        <v>#N/A</v>
      </c>
      <c r="V206" s="466">
        <f t="shared" si="40"/>
        <v>5.6179775280907052</v>
      </c>
      <c r="W206" s="466" t="e">
        <f t="shared" si="41"/>
        <v>#N/A</v>
      </c>
      <c r="Y206" s="35">
        <f t="shared" si="36"/>
        <v>215</v>
      </c>
      <c r="Z206" s="555">
        <f>[1]!srIx2Val(AA$6,Y206,1)</f>
        <v>327.38095238095241</v>
      </c>
      <c r="AA206" s="572">
        <f>[1]!srIx2Val(AA$6,Y206,5)</f>
        <v>20930</v>
      </c>
      <c r="AB206" s="554">
        <f t="shared" si="42"/>
        <v>20925</v>
      </c>
      <c r="AC206" s="465">
        <f>IF(AB206&lt;=0,0,[1]!srRng2E(AA$6,AB206))</f>
        <v>327.3310162991371</v>
      </c>
      <c r="AD206" s="466">
        <f t="shared" si="43"/>
        <v>4.9936081815303623E-2</v>
      </c>
      <c r="AE206" s="466" t="e">
        <f t="shared" si="44"/>
        <v>#N/A</v>
      </c>
      <c r="AF206" s="466">
        <f t="shared" si="45"/>
        <v>4.1946308724855044</v>
      </c>
      <c r="AG206" s="466" t="e">
        <f t="shared" si="46"/>
        <v>#N/A</v>
      </c>
    </row>
    <row r="207" spans="15:33">
      <c r="O207" s="35">
        <f t="shared" si="47"/>
        <v>216</v>
      </c>
      <c r="P207" s="555">
        <f>[1]!srIx2Val(Q$6,O207,1)</f>
        <v>375</v>
      </c>
      <c r="Q207" s="493">
        <f>[1]!srIx2Val(Q$6,O207,5)</f>
        <v>8950</v>
      </c>
      <c r="R207" s="554">
        <f t="shared" si="37"/>
        <v>8945</v>
      </c>
      <c r="S207" s="465">
        <f>IF(R207&lt;=0,0,[1]!srRng2E(Q$6,R207))</f>
        <v>374.86559139784947</v>
      </c>
      <c r="T207" s="482">
        <f t="shared" si="38"/>
        <v>0.13440860215052908</v>
      </c>
      <c r="U207" s="466" t="e">
        <f t="shared" si="39"/>
        <v>#N/A</v>
      </c>
      <c r="V207" s="466">
        <f t="shared" si="40"/>
        <v>5.3763440860211631</v>
      </c>
      <c r="W207" s="466" t="e">
        <f t="shared" si="41"/>
        <v>#N/A</v>
      </c>
      <c r="Y207" s="35">
        <f t="shared" si="36"/>
        <v>216</v>
      </c>
      <c r="Z207" s="555">
        <f>[1]!srIx2Val(AA$6,Y207,1)</f>
        <v>357.14285714285717</v>
      </c>
      <c r="AA207" s="572">
        <f>[1]!srIx2Val(AA$6,Y207,5)</f>
        <v>24060</v>
      </c>
      <c r="AB207" s="554">
        <f t="shared" si="42"/>
        <v>24055</v>
      </c>
      <c r="AC207" s="465">
        <f>IF(AB207&lt;=0,0,[1]!srRng2E(AA$6,AB207))</f>
        <v>357.09531416400426</v>
      </c>
      <c r="AD207" s="466">
        <f t="shared" si="43"/>
        <v>4.7542978852902706E-2</v>
      </c>
      <c r="AE207" s="466" t="e">
        <f t="shared" si="44"/>
        <v>#N/A</v>
      </c>
      <c r="AF207" s="466">
        <f t="shared" si="45"/>
        <v>3.9936102236438273</v>
      </c>
      <c r="AG207" s="466" t="e">
        <f t="shared" si="46"/>
        <v>#N/A</v>
      </c>
    </row>
    <row r="208" spans="15:33">
      <c r="O208" s="35">
        <f t="shared" si="47"/>
        <v>217</v>
      </c>
      <c r="P208" s="555">
        <f>[1]!srIx2Val(Q$6,O208,1)</f>
        <v>400</v>
      </c>
      <c r="Q208" s="493">
        <f>[1]!srIx2Val(Q$6,O208,5)</f>
        <v>9900</v>
      </c>
      <c r="R208" s="554">
        <f t="shared" si="37"/>
        <v>9895</v>
      </c>
      <c r="S208" s="465">
        <f>IF(R208&lt;=0,0,[1]!srRng2E(Q$6,R208))</f>
        <v>399.86842105263156</v>
      </c>
      <c r="T208" s="482">
        <f t="shared" si="38"/>
        <v>0.131578947368439</v>
      </c>
      <c r="U208" s="466" t="e">
        <f t="shared" si="39"/>
        <v>#N/A</v>
      </c>
      <c r="V208" s="466">
        <f t="shared" si="40"/>
        <v>5.2631578947375601</v>
      </c>
      <c r="W208" s="466" t="e">
        <f t="shared" si="41"/>
        <v>#N/A</v>
      </c>
      <c r="Y208" s="35">
        <f t="shared" si="36"/>
        <v>217</v>
      </c>
      <c r="Z208" s="555">
        <f>[1]!srIx2Val(AA$6,Y208,1)</f>
        <v>386.90476190476193</v>
      </c>
      <c r="AA208" s="572">
        <f>[1]!srIx2Val(AA$6,Y208,5)</f>
        <v>27320</v>
      </c>
      <c r="AB208" s="554">
        <f t="shared" si="42"/>
        <v>27315</v>
      </c>
      <c r="AC208" s="465">
        <f>IF(AB208&lt;=0,0,[1]!srRng2E(AA$6,AB208))</f>
        <v>386.85911481156882</v>
      </c>
      <c r="AD208" s="466">
        <f t="shared" si="43"/>
        <v>4.5647093193110777E-2</v>
      </c>
      <c r="AE208" s="466" t="e">
        <f t="shared" si="44"/>
        <v>#N/A</v>
      </c>
      <c r="AF208" s="466">
        <f t="shared" si="45"/>
        <v>3.8343558282213053</v>
      </c>
      <c r="AG208" s="466" t="e">
        <f t="shared" si="46"/>
        <v>#N/A</v>
      </c>
    </row>
    <row r="209" spans="15:33">
      <c r="O209" s="35">
        <f t="shared" si="47"/>
        <v>218</v>
      </c>
      <c r="P209" s="555">
        <f>[1]!srIx2Val(Q$6,O209,1)</f>
        <v>425</v>
      </c>
      <c r="Q209" s="493">
        <f>[1]!srIx2Val(Q$6,O209,5)</f>
        <v>10880</v>
      </c>
      <c r="R209" s="554">
        <f t="shared" si="37"/>
        <v>10875</v>
      </c>
      <c r="S209" s="465">
        <f>IF(R209&lt;=0,0,[1]!srRng2E(Q$6,R209))</f>
        <v>424.87244897959181</v>
      </c>
      <c r="T209" s="482">
        <f t="shared" si="38"/>
        <v>0.12755102040819111</v>
      </c>
      <c r="U209" s="466" t="e">
        <f t="shared" si="39"/>
        <v>#N/A</v>
      </c>
      <c r="V209" s="466">
        <f t="shared" si="40"/>
        <v>5.1020408163276443</v>
      </c>
      <c r="W209" s="466" t="e">
        <f t="shared" si="41"/>
        <v>#N/A</v>
      </c>
      <c r="Y209" s="35">
        <f t="shared" si="36"/>
        <v>218</v>
      </c>
      <c r="Z209" s="555">
        <f>[1]!srIx2Val(AA$6,Y209,1)</f>
        <v>416.66666666666669</v>
      </c>
      <c r="AA209" s="572">
        <f>[1]!srIx2Val(AA$6,Y209,5)</f>
        <v>30700</v>
      </c>
      <c r="AB209" s="554">
        <f t="shared" si="42"/>
        <v>30695</v>
      </c>
      <c r="AC209" s="465">
        <f>IF(AB209&lt;=0,0,[1]!srRng2E(AA$6,AB209))</f>
        <v>416.6226401803325</v>
      </c>
      <c r="AD209" s="466">
        <f t="shared" si="43"/>
        <v>4.4026486334189485E-2</v>
      </c>
      <c r="AE209" s="466" t="e">
        <f t="shared" si="44"/>
        <v>#N/A</v>
      </c>
      <c r="AF209" s="466">
        <f t="shared" si="45"/>
        <v>3.6982248520719168</v>
      </c>
      <c r="AG209" s="466" t="e">
        <f t="shared" si="46"/>
        <v>#N/A</v>
      </c>
    </row>
    <row r="210" spans="15:33">
      <c r="O210" s="35">
        <f t="shared" si="47"/>
        <v>219</v>
      </c>
      <c r="P210" s="555">
        <f>[1]!srIx2Val(Q$6,O210,1)</f>
        <v>450</v>
      </c>
      <c r="Q210" s="493">
        <f>[1]!srIx2Val(Q$6,O210,5)</f>
        <v>11880</v>
      </c>
      <c r="R210" s="554">
        <f t="shared" si="37"/>
        <v>11875</v>
      </c>
      <c r="S210" s="465">
        <f>IF(R210&lt;=0,0,[1]!srRng2E(Q$6,R210))</f>
        <v>449.875</v>
      </c>
      <c r="T210" s="482">
        <f t="shared" si="38"/>
        <v>0.125</v>
      </c>
      <c r="U210" s="466" t="e">
        <f t="shared" si="39"/>
        <v>#N/A</v>
      </c>
      <c r="V210" s="466">
        <f t="shared" si="40"/>
        <v>5</v>
      </c>
      <c r="W210" s="466" t="e">
        <f t="shared" si="41"/>
        <v>#N/A</v>
      </c>
      <c r="Y210" s="35">
        <f t="shared" si="36"/>
        <v>219</v>
      </c>
      <c r="Z210" s="555">
        <f>[1]!srIx2Val(AA$6,Y210,1)</f>
        <v>446.42857142857144</v>
      </c>
      <c r="AA210" s="572">
        <f>[1]!srIx2Val(AA$6,Y210,5)</f>
        <v>34200</v>
      </c>
      <c r="AB210" s="554">
        <f t="shared" si="42"/>
        <v>34195</v>
      </c>
      <c r="AC210" s="465">
        <f>IF(AB210&lt;=0,0,[1]!srRng2E(AA$6,AB210))</f>
        <v>446.38605442176873</v>
      </c>
      <c r="AD210" s="466">
        <f t="shared" si="43"/>
        <v>4.2517006802711421E-2</v>
      </c>
      <c r="AE210" s="466" t="e">
        <f t="shared" si="44"/>
        <v>#N/A</v>
      </c>
      <c r="AF210" s="466">
        <f t="shared" si="45"/>
        <v>3.5714285714277594</v>
      </c>
      <c r="AG210" s="466" t="e">
        <f t="shared" si="46"/>
        <v>#N/A</v>
      </c>
    </row>
    <row r="211" spans="15:33">
      <c r="O211" s="35">
        <f t="shared" si="47"/>
        <v>220</v>
      </c>
      <c r="P211" s="555">
        <f>[1]!srIx2Val(Q$6,O211,1)</f>
        <v>500</v>
      </c>
      <c r="Q211" s="493">
        <f>[1]!srIx2Val(Q$6,O211,5)</f>
        <v>13960</v>
      </c>
      <c r="R211" s="554">
        <f t="shared" si="37"/>
        <v>13955</v>
      </c>
      <c r="S211" s="465">
        <f>IF(R211&lt;=0,0,[1]!srRng2E(Q$6,R211))</f>
        <v>499.87980769230768</v>
      </c>
      <c r="T211" s="482">
        <f t="shared" si="38"/>
        <v>0.12019230769232081</v>
      </c>
      <c r="U211" s="466" t="e">
        <f t="shared" si="39"/>
        <v>#N/A</v>
      </c>
      <c r="V211" s="466">
        <f t="shared" si="40"/>
        <v>4.8076923076928324</v>
      </c>
      <c r="W211" s="466" t="e">
        <f t="shared" si="41"/>
        <v>#N/A</v>
      </c>
      <c r="Y211" s="35">
        <f t="shared" si="36"/>
        <v>220</v>
      </c>
      <c r="Z211" s="555">
        <f>[1]!srIx2Val(AA$6,Y211,1)</f>
        <v>476.1904761904762</v>
      </c>
      <c r="AA211" s="572">
        <f>[1]!srIx2Val(AA$6,Y211,5)</f>
        <v>37800</v>
      </c>
      <c r="AB211" s="554">
        <f t="shared" si="42"/>
        <v>37795</v>
      </c>
      <c r="AC211" s="465">
        <f>IF(AB211&lt;=0,0,[1]!srRng2E(AA$6,AB211))</f>
        <v>476.1491402116402</v>
      </c>
      <c r="AD211" s="466">
        <f t="shared" si="43"/>
        <v>4.1335978836002596E-2</v>
      </c>
      <c r="AE211" s="466" t="e">
        <f t="shared" si="44"/>
        <v>#N/A</v>
      </c>
      <c r="AF211" s="466">
        <f t="shared" si="45"/>
        <v>3.4722222222242181</v>
      </c>
      <c r="AG211" s="466" t="e">
        <f t="shared" si="46"/>
        <v>#N/A</v>
      </c>
    </row>
    <row r="212" spans="15:33">
      <c r="O212" s="35">
        <f t="shared" si="47"/>
        <v>221</v>
      </c>
      <c r="P212" s="555">
        <f>[1]!srIx2Val(Q$6,O212,1)</f>
        <v>562.5</v>
      </c>
      <c r="Q212" s="493">
        <f>[1]!srIx2Val(Q$6,O212,5)</f>
        <v>16680</v>
      </c>
      <c r="R212" s="554">
        <f t="shared" si="37"/>
        <v>16675</v>
      </c>
      <c r="S212" s="465">
        <f>IF(R212&lt;=0,0,[1]!srRng2E(Q$6,R212))</f>
        <v>562.38511029411768</v>
      </c>
      <c r="T212" s="482">
        <f t="shared" si="38"/>
        <v>0.1148897058823195</v>
      </c>
      <c r="U212" s="466" t="e">
        <f t="shared" si="39"/>
        <v>#N/A</v>
      </c>
      <c r="V212" s="466">
        <f t="shared" si="40"/>
        <v>4.5955882352927802</v>
      </c>
      <c r="W212" s="466" t="e">
        <f t="shared" si="41"/>
        <v>#N/A</v>
      </c>
      <c r="Y212" s="35">
        <f t="shared" si="36"/>
        <v>221</v>
      </c>
      <c r="Z212" s="555">
        <f>[1]!srIx2Val(AA$6,Y212,1)</f>
        <v>535.71428571428567</v>
      </c>
      <c r="AA212" s="572">
        <f>[1]!srIx2Val(AA$6,Y212,5)</f>
        <v>45270</v>
      </c>
      <c r="AB212" s="554">
        <f t="shared" si="42"/>
        <v>45265</v>
      </c>
      <c r="AC212" s="465">
        <f>IF(AB212&lt;=0,0,[1]!srRng2E(AA$6,AB212))</f>
        <v>535.67444380697384</v>
      </c>
      <c r="AD212" s="466">
        <f t="shared" si="43"/>
        <v>3.9841907311824798E-2</v>
      </c>
      <c r="AE212" s="466" t="e">
        <f t="shared" si="44"/>
        <v>#N/A</v>
      </c>
      <c r="AF212" s="466">
        <f t="shared" si="45"/>
        <v>3.346720214193283</v>
      </c>
      <c r="AG212" s="466" t="e">
        <f t="shared" si="46"/>
        <v>#N/A</v>
      </c>
    </row>
    <row r="213" spans="15:33">
      <c r="O213" s="35">
        <f t="shared" si="47"/>
        <v>222</v>
      </c>
      <c r="P213" s="555">
        <f>[1]!srIx2Val(Q$6,O213,1)</f>
        <v>625</v>
      </c>
      <c r="Q213" s="493">
        <f>[1]!srIx2Val(Q$6,O213,5)</f>
        <v>19500</v>
      </c>
      <c r="R213" s="554">
        <f t="shared" si="37"/>
        <v>19495</v>
      </c>
      <c r="S213" s="465">
        <f>IF(R213&lt;=0,0,[1]!srRng2E(Q$6,R213))</f>
        <v>624.88918439716315</v>
      </c>
      <c r="T213" s="482">
        <f t="shared" si="38"/>
        <v>0.11081560283685121</v>
      </c>
      <c r="U213" s="466" t="e">
        <f t="shared" si="39"/>
        <v>#N/A</v>
      </c>
      <c r="V213" s="466">
        <f t="shared" si="40"/>
        <v>4.4326241134740485</v>
      </c>
      <c r="W213" s="466" t="e">
        <f t="shared" si="41"/>
        <v>#N/A</v>
      </c>
      <c r="Y213" s="35">
        <f t="shared" si="36"/>
        <v>222</v>
      </c>
      <c r="Z213" s="555">
        <f>[1]!srIx2Val(AA$6,Y213,1)</f>
        <v>595.23809523809518</v>
      </c>
      <c r="AA213" s="572">
        <f>[1]!srIx2Val(AA$6,Y213,5)</f>
        <v>53080</v>
      </c>
      <c r="AB213" s="554">
        <f t="shared" si="42"/>
        <v>53075</v>
      </c>
      <c r="AC213" s="465">
        <f>IF(AB213&lt;=0,0,[1]!srRng2E(AA$6,AB213))</f>
        <v>595.1999878056215</v>
      </c>
      <c r="AD213" s="466">
        <f t="shared" si="43"/>
        <v>3.8107432473680092E-2</v>
      </c>
      <c r="AE213" s="466" t="e">
        <f t="shared" si="44"/>
        <v>#N/A</v>
      </c>
      <c r="AF213" s="466">
        <f t="shared" si="45"/>
        <v>3.2010243277891277</v>
      </c>
      <c r="AG213" s="466" t="e">
        <f t="shared" si="46"/>
        <v>#N/A</v>
      </c>
    </row>
    <row r="214" spans="15:33">
      <c r="O214" s="35">
        <f t="shared" si="47"/>
        <v>223</v>
      </c>
      <c r="P214" s="555">
        <f>[1]!srIx2Val(Q$6,O214,1)</f>
        <v>687.5</v>
      </c>
      <c r="Q214" s="493">
        <f>[1]!srIx2Val(Q$6,O214,5)</f>
        <v>22420</v>
      </c>
      <c r="R214" s="554">
        <f t="shared" si="37"/>
        <v>22415</v>
      </c>
      <c r="S214" s="465">
        <f>IF(R214&lt;=0,0,[1]!srRng2E(Q$6,R214))</f>
        <v>687.39297945205476</v>
      </c>
      <c r="T214" s="482">
        <f t="shared" si="38"/>
        <v>0.10702054794523974</v>
      </c>
      <c r="U214" s="466" t="e">
        <f t="shared" si="39"/>
        <v>#N/A</v>
      </c>
      <c r="V214" s="466">
        <f t="shared" si="40"/>
        <v>4.2808219178095896</v>
      </c>
      <c r="W214" s="466" t="e">
        <f t="shared" si="41"/>
        <v>#N/A</v>
      </c>
      <c r="Y214" s="35">
        <f t="shared" ref="Y214:Y219" si="48">Y213+1</f>
        <v>223</v>
      </c>
      <c r="Z214" s="555">
        <f>[1]!srIx2Val(AA$6,Y214,1)</f>
        <v>654.76190476190482</v>
      </c>
      <c r="AA214" s="572">
        <f>[1]!srIx2Val(AA$6,Y214,5)</f>
        <v>61170</v>
      </c>
      <c r="AB214" s="554">
        <f t="shared" si="42"/>
        <v>61165</v>
      </c>
      <c r="AC214" s="465">
        <f>IF(AB214&lt;=0,0,[1]!srRng2E(AA$6,AB214))</f>
        <v>654.72511625169227</v>
      </c>
      <c r="AD214" s="466">
        <f t="shared" si="43"/>
        <v>3.6788510212545589E-2</v>
      </c>
      <c r="AE214" s="466" t="e">
        <f t="shared" si="44"/>
        <v>#N/A</v>
      </c>
      <c r="AF214" s="466">
        <f t="shared" si="45"/>
        <v>3.0902348578538295</v>
      </c>
      <c r="AG214" s="466" t="e">
        <f t="shared" si="46"/>
        <v>#N/A</v>
      </c>
    </row>
    <row r="215" spans="15:33">
      <c r="O215" s="35">
        <f t="shared" si="47"/>
        <v>224</v>
      </c>
      <c r="P215" s="555">
        <f>[1]!srIx2Val(Q$6,O215,1)</f>
        <v>750</v>
      </c>
      <c r="Q215" s="493">
        <f>[1]!srIx2Val(Q$6,O215,5)</f>
        <v>25420</v>
      </c>
      <c r="R215" s="554">
        <f t="shared" si="37"/>
        <v>25415</v>
      </c>
      <c r="S215" s="465">
        <f>IF(R215&lt;=0,0,[1]!srRng2E(Q$6,R215))</f>
        <v>749.89583333333337</v>
      </c>
      <c r="T215" s="482">
        <f t="shared" si="38"/>
        <v>0.10416666666662877</v>
      </c>
      <c r="U215" s="466" t="e">
        <f t="shared" si="39"/>
        <v>#N/A</v>
      </c>
      <c r="V215" s="466">
        <f t="shared" si="40"/>
        <v>4.1666666666651508</v>
      </c>
      <c r="W215" s="466" t="e">
        <f t="shared" si="41"/>
        <v>#N/A</v>
      </c>
      <c r="Y215" s="35">
        <f t="shared" si="48"/>
        <v>224</v>
      </c>
      <c r="Z215" s="555">
        <f>[1]!srIx2Val(AA$6,Y215,1)</f>
        <v>714.28571428571433</v>
      </c>
      <c r="AA215" s="572">
        <f>[1]!srIx2Val(AA$6,Y215,5)</f>
        <v>69510</v>
      </c>
      <c r="AB215" s="554">
        <f t="shared" si="42"/>
        <v>69505</v>
      </c>
      <c r="AC215" s="465">
        <f>IF(AB215&lt;=0,0,[1]!srRng2E(AA$6,AB215))</f>
        <v>714.25002854858974</v>
      </c>
      <c r="AD215" s="466">
        <f t="shared" si="43"/>
        <v>3.5685737124595107E-2</v>
      </c>
      <c r="AE215" s="466" t="e">
        <f t="shared" si="44"/>
        <v>#N/A</v>
      </c>
      <c r="AF215" s="466">
        <f t="shared" si="45"/>
        <v>2.997601918465989</v>
      </c>
      <c r="AG215" s="466" t="e">
        <f t="shared" si="46"/>
        <v>#N/A</v>
      </c>
    </row>
    <row r="216" spans="15:33">
      <c r="O216" s="35">
        <f t="shared" si="47"/>
        <v>225</v>
      </c>
      <c r="P216" s="555">
        <f>[1]!srIx2Val(Q$6,O216,1)</f>
        <v>812.5</v>
      </c>
      <c r="Q216" s="493">
        <f>[1]!srIx2Val(Q$6,O216,5)</f>
        <v>28480</v>
      </c>
      <c r="R216" s="554">
        <f t="shared" si="37"/>
        <v>28475</v>
      </c>
      <c r="S216" s="465">
        <f>IF(R216&lt;=0,0,[1]!srRng2E(Q$6,R216))</f>
        <v>812.39787581699352</v>
      </c>
      <c r="T216" s="482">
        <f t="shared" si="38"/>
        <v>0.10212418300648096</v>
      </c>
      <c r="U216" s="466" t="e">
        <f t="shared" si="39"/>
        <v>#N/A</v>
      </c>
      <c r="V216" s="466">
        <f t="shared" si="40"/>
        <v>4.0849673202592385</v>
      </c>
      <c r="W216" s="466" t="e">
        <f t="shared" si="41"/>
        <v>#N/A</v>
      </c>
      <c r="Y216" s="35">
        <f t="shared" si="48"/>
        <v>225</v>
      </c>
      <c r="Z216" s="555">
        <f>[1]!srIx2Val(AA$6,Y216,1)</f>
        <v>773.80952380952385</v>
      </c>
      <c r="AA216" s="572">
        <f>[1]!srIx2Val(AA$6,Y216,5)</f>
        <v>78060</v>
      </c>
      <c r="AB216" s="554">
        <f t="shared" si="42"/>
        <v>78055</v>
      </c>
      <c r="AC216" s="465">
        <f>IF(AB216&lt;=0,0,[1]!srRng2E(AA$6,AB216))</f>
        <v>773.77471456418834</v>
      </c>
      <c r="AD216" s="466">
        <f t="shared" si="43"/>
        <v>3.4809245335509331E-2</v>
      </c>
      <c r="AE216" s="466" t="e">
        <f t="shared" si="44"/>
        <v>#N/A</v>
      </c>
      <c r="AF216" s="466">
        <f t="shared" si="45"/>
        <v>2.9239766081827838</v>
      </c>
      <c r="AG216" s="466" t="e">
        <f t="shared" si="46"/>
        <v>#N/A</v>
      </c>
    </row>
    <row r="217" spans="15:33">
      <c r="O217" s="35">
        <f t="shared" si="47"/>
        <v>226</v>
      </c>
      <c r="P217" s="555">
        <f>[1]!srIx2Val(Q$6,O217,1)</f>
        <v>875</v>
      </c>
      <c r="Q217" s="493">
        <f>[1]!srIx2Val(Q$6,O217,5)</f>
        <v>31610</v>
      </c>
      <c r="R217" s="554">
        <f t="shared" si="37"/>
        <v>31605</v>
      </c>
      <c r="S217" s="465">
        <f>IF(R217&lt;=0,0,[1]!srRng2E(Q$6,R217))</f>
        <v>874.90015974440894</v>
      </c>
      <c r="T217" s="482">
        <f t="shared" si="38"/>
        <v>9.9840255591061577E-2</v>
      </c>
      <c r="U217" s="466" t="e">
        <f t="shared" si="39"/>
        <v>#N/A</v>
      </c>
      <c r="V217" s="466">
        <f t="shared" si="40"/>
        <v>3.9936102236424631</v>
      </c>
      <c r="W217" s="466" t="e">
        <f t="shared" si="41"/>
        <v>#N/A</v>
      </c>
      <c r="Y217" s="35">
        <f t="shared" si="48"/>
        <v>226</v>
      </c>
      <c r="Z217" s="555">
        <f>[1]!srIx2Val(AA$6,Y217,1)</f>
        <v>833.33333333333337</v>
      </c>
      <c r="AA217" s="572">
        <f>[1]!srIx2Val(AA$6,Y217,5)</f>
        <v>86800</v>
      </c>
      <c r="AB217" s="554">
        <f t="shared" si="42"/>
        <v>86795</v>
      </c>
      <c r="AC217" s="465">
        <f>IF(AB217&lt;=0,0,[1]!srRng2E(AA$6,AB217))</f>
        <v>833.29928081072251</v>
      </c>
      <c r="AD217" s="466">
        <f t="shared" si="43"/>
        <v>3.4052522610863889E-2</v>
      </c>
      <c r="AE217" s="466" t="e">
        <f t="shared" si="44"/>
        <v>#N/A</v>
      </c>
      <c r="AF217" s="466">
        <f t="shared" si="45"/>
        <v>2.8604118993125667</v>
      </c>
      <c r="AG217" s="466" t="e">
        <f t="shared" si="46"/>
        <v>#N/A</v>
      </c>
    </row>
    <row r="218" spans="15:33">
      <c r="O218" s="35">
        <f t="shared" si="47"/>
        <v>227</v>
      </c>
      <c r="P218" s="555">
        <f>[1]!srIx2Val(Q$6,O218,1)</f>
        <v>937.5</v>
      </c>
      <c r="Q218" s="493">
        <f>[1]!srIx2Val(Q$6,O218,5)</f>
        <v>34780</v>
      </c>
      <c r="R218" s="554">
        <f t="shared" si="37"/>
        <v>34775</v>
      </c>
      <c r="S218" s="465">
        <f>IF(R218&lt;=0,0,[1]!srRng2E(Q$6,R218))</f>
        <v>937.40141955835963</v>
      </c>
      <c r="T218" s="482">
        <f t="shared" si="38"/>
        <v>9.8580441640365279E-2</v>
      </c>
      <c r="U218" s="466" t="e">
        <f t="shared" si="39"/>
        <v>#N/A</v>
      </c>
      <c r="V218" s="466">
        <f t="shared" si="40"/>
        <v>3.9432176656146112</v>
      </c>
      <c r="W218" s="466" t="e">
        <f t="shared" si="41"/>
        <v>#N/A</v>
      </c>
      <c r="Y218" s="35">
        <f t="shared" si="48"/>
        <v>227</v>
      </c>
      <c r="Z218" s="555">
        <f>[1]!srIx2Val(AA$6,Y218,1)</f>
        <v>952.38095238095241</v>
      </c>
      <c r="AA218" s="572">
        <f>[1]!srIx2Val(AA$6,Y218,5)</f>
        <v>104730</v>
      </c>
      <c r="AB218" s="554">
        <f t="shared" si="42"/>
        <v>104725</v>
      </c>
      <c r="AC218" s="465">
        <f>IF(AB218&lt;=0,0,[1]!srRng2E(AA$6,AB218))</f>
        <v>952.34775449499375</v>
      </c>
      <c r="AD218" s="466">
        <f t="shared" si="43"/>
        <v>3.3197885958657025E-2</v>
      </c>
      <c r="AE218" s="466" t="e">
        <f t="shared" si="44"/>
        <v>#N/A</v>
      </c>
      <c r="AF218" s="466">
        <f t="shared" si="45"/>
        <v>2.7886224205271901</v>
      </c>
      <c r="AG218" s="466" t="e">
        <f t="shared" si="46"/>
        <v>#N/A</v>
      </c>
    </row>
    <row r="219" spans="15:33">
      <c r="O219" s="35">
        <f t="shared" si="47"/>
        <v>228</v>
      </c>
      <c r="P219" s="555">
        <f>[1]!srIx2Val(Q$6,O219,1)</f>
        <v>1000</v>
      </c>
      <c r="Q219" s="493">
        <f>[1]!srIx2Val(Q$6,O219,5)</f>
        <v>38000</v>
      </c>
      <c r="R219" s="554">
        <f t="shared" si="37"/>
        <v>37995</v>
      </c>
      <c r="S219" s="465">
        <f>IF(R219&lt;=0,0,[1]!srRng2E(Q$6,R219))</f>
        <v>999.90295031055905</v>
      </c>
      <c r="T219" s="482">
        <f t="shared" si="38"/>
        <v>9.7049689440950715E-2</v>
      </c>
      <c r="U219" s="466" t="e">
        <f t="shared" si="39"/>
        <v>#N/A</v>
      </c>
      <c r="V219" s="466">
        <f t="shared" si="40"/>
        <v>3.8819875776380286</v>
      </c>
      <c r="W219" s="466" t="e">
        <f t="shared" si="41"/>
        <v>#N/A</v>
      </c>
      <c r="Y219" s="35">
        <f t="shared" si="48"/>
        <v>228</v>
      </c>
      <c r="Z219" s="555">
        <f>[1]!srIx2Val(AA$6,Y219,1)</f>
        <v>1000</v>
      </c>
      <c r="AA219" s="572">
        <f>[1]!srIx2Val(AA$6,Y219,5)</f>
        <v>112050</v>
      </c>
      <c r="AB219" s="554">
        <f t="shared" si="42"/>
        <v>112045</v>
      </c>
      <c r="AC219" s="465">
        <f>IF(AB219&lt;=0,0,[1]!srRng2E(AA$6,AB219))</f>
        <v>999.96747332812902</v>
      </c>
      <c r="AD219" s="466">
        <f t="shared" si="43"/>
        <v>3.2526671870982682E-2</v>
      </c>
      <c r="AE219" s="466" t="e">
        <f t="shared" si="44"/>
        <v>#N/A</v>
      </c>
      <c r="AF219" s="466">
        <f t="shared" si="45"/>
        <v>2.7322404371625453</v>
      </c>
      <c r="AG219" s="466" t="e">
        <f t="shared" si="46"/>
        <v>#N/A</v>
      </c>
    </row>
    <row r="220" spans="15:33">
      <c r="O220" s="35"/>
    </row>
    <row r="221" spans="15:33">
      <c r="O221" s="35"/>
    </row>
    <row r="222" spans="15:33">
      <c r="O222" s="35"/>
    </row>
    <row r="223" spans="15:33">
      <c r="O223" s="35"/>
    </row>
    <row r="224" spans="15:33">
      <c r="O224" s="35"/>
    </row>
    <row r="225" spans="15:15">
      <c r="O225" s="35"/>
    </row>
    <row r="226" spans="15:15">
      <c r="O226" s="35"/>
    </row>
    <row r="227" spans="15:15">
      <c r="O227" s="35"/>
    </row>
    <row r="228" spans="15:15">
      <c r="O228" s="35"/>
    </row>
    <row r="229" spans="15:15">
      <c r="O229" s="35"/>
    </row>
    <row r="230" spans="15:15">
      <c r="O230" s="35"/>
    </row>
    <row r="231" spans="15:15">
      <c r="O231" s="35"/>
    </row>
    <row r="232" spans="15:15">
      <c r="O232" s="35"/>
    </row>
    <row r="233" spans="15:15">
      <c r="O233" s="35"/>
    </row>
    <row r="234" spans="15:15">
      <c r="O234" s="35"/>
    </row>
    <row r="235" spans="15:15">
      <c r="O235" s="35"/>
    </row>
    <row r="236" spans="15:15">
      <c r="O236" s="35"/>
    </row>
    <row r="237" spans="15:15">
      <c r="O237" s="35"/>
    </row>
    <row r="238" spans="15:15">
      <c r="O238" s="35"/>
    </row>
    <row r="239" spans="15:15">
      <c r="O239" s="35"/>
    </row>
    <row r="240" spans="15:15">
      <c r="O240" s="35"/>
    </row>
    <row r="241" spans="15:15">
      <c r="O241" s="35"/>
    </row>
    <row r="242" spans="15:15">
      <c r="O242" s="35"/>
    </row>
    <row r="243" spans="15:15">
      <c r="O243" s="35"/>
    </row>
    <row r="244" spans="15:15">
      <c r="O244" s="35"/>
    </row>
    <row r="245" spans="15:15">
      <c r="O245" s="35"/>
    </row>
    <row r="246" spans="15:15">
      <c r="O246" s="35"/>
    </row>
    <row r="247" spans="15:15">
      <c r="O247" s="35"/>
    </row>
    <row r="248" spans="15:15">
      <c r="O248" s="35"/>
    </row>
    <row r="249" spans="15:15">
      <c r="O249" s="35"/>
    </row>
    <row r="250" spans="15:15">
      <c r="O250" s="35"/>
    </row>
    <row r="251" spans="15:15">
      <c r="O251" s="35"/>
    </row>
    <row r="252" spans="15:15">
      <c r="O252" s="35"/>
    </row>
    <row r="253" spans="15:15">
      <c r="O253" s="35"/>
    </row>
    <row r="254" spans="15:15">
      <c r="O254" s="35"/>
    </row>
    <row r="255" spans="15:15">
      <c r="O255" s="35"/>
    </row>
    <row r="256" spans="15:15">
      <c r="O256" s="35"/>
    </row>
    <row r="257" spans="15:15">
      <c r="O257" s="35"/>
    </row>
    <row r="258" spans="15:15">
      <c r="O258" s="35"/>
    </row>
    <row r="259" spans="15:15">
      <c r="O259" s="35"/>
    </row>
    <row r="260" spans="15:15">
      <c r="O260" s="35"/>
    </row>
    <row r="261" spans="15:15">
      <c r="O261" s="35"/>
    </row>
    <row r="262" spans="15:15">
      <c r="O262" s="35"/>
    </row>
    <row r="263" spans="15:15">
      <c r="O263" s="35"/>
    </row>
    <row r="264" spans="15:15">
      <c r="O264" s="35"/>
    </row>
    <row r="265" spans="15:15">
      <c r="O265" s="35"/>
    </row>
    <row r="266" spans="15:15">
      <c r="O266" s="35"/>
    </row>
    <row r="267" spans="15:15">
      <c r="O267" s="35"/>
    </row>
    <row r="268" spans="15:15">
      <c r="O268" s="35"/>
    </row>
    <row r="269" spans="15:15">
      <c r="O269" s="35"/>
    </row>
    <row r="270" spans="15:15">
      <c r="O270" s="35"/>
    </row>
    <row r="271" spans="15:15">
      <c r="O271" s="35"/>
    </row>
    <row r="272" spans="15:15">
      <c r="O272" s="35"/>
    </row>
    <row r="273" spans="15:15">
      <c r="O273" s="35"/>
    </row>
    <row r="274" spans="15:15">
      <c r="O274" s="35"/>
    </row>
    <row r="275" spans="15:15">
      <c r="O275" s="35"/>
    </row>
    <row r="276" spans="15:15">
      <c r="O276" s="35"/>
    </row>
    <row r="277" spans="15:15">
      <c r="O277" s="35"/>
    </row>
    <row r="278" spans="15:15">
      <c r="O278" s="35"/>
    </row>
    <row r="279" spans="15:15">
      <c r="O279" s="35"/>
    </row>
    <row r="280" spans="15:15">
      <c r="O280" s="35"/>
    </row>
    <row r="281" spans="15:15">
      <c r="O281" s="35"/>
    </row>
    <row r="282" spans="15:15">
      <c r="O282" s="35"/>
    </row>
    <row r="283" spans="15:15">
      <c r="O283" s="35"/>
    </row>
    <row r="284" spans="15:15">
      <c r="O284" s="35"/>
    </row>
    <row r="285" spans="15:15">
      <c r="O285" s="35"/>
    </row>
    <row r="286" spans="15:15">
      <c r="O286" s="35"/>
    </row>
    <row r="287" spans="15:15">
      <c r="O287" s="35"/>
    </row>
    <row r="288" spans="15:15">
      <c r="O288" s="35"/>
    </row>
    <row r="289" spans="15:15">
      <c r="O289" s="35"/>
    </row>
    <row r="290" spans="15:15">
      <c r="O290" s="35"/>
    </row>
    <row r="291" spans="15:15">
      <c r="O291" s="35"/>
    </row>
    <row r="292" spans="15:15">
      <c r="O292" s="35"/>
    </row>
    <row r="293" spans="15:15">
      <c r="O293" s="35"/>
    </row>
    <row r="294" spans="15:15">
      <c r="O294" s="35"/>
    </row>
    <row r="295" spans="15:15">
      <c r="O295" s="35"/>
    </row>
    <row r="296" spans="15:15">
      <c r="O296" s="35"/>
    </row>
    <row r="297" spans="15:15">
      <c r="O297" s="35"/>
    </row>
    <row r="298" spans="15:15">
      <c r="O298" s="35"/>
    </row>
    <row r="299" spans="15:15">
      <c r="O299" s="35"/>
    </row>
    <row r="300" spans="15:15">
      <c r="O300" s="35"/>
    </row>
    <row r="301" spans="15:15">
      <c r="O301" s="35"/>
    </row>
    <row r="302" spans="15:15">
      <c r="O302" s="35"/>
    </row>
    <row r="303" spans="15:15">
      <c r="O303" s="35"/>
    </row>
    <row r="304" spans="15:15">
      <c r="O304" s="35"/>
    </row>
    <row r="305" spans="15:15">
      <c r="O305" s="35"/>
    </row>
    <row r="306" spans="15:15">
      <c r="O306" s="35"/>
    </row>
    <row r="307" spans="15:15">
      <c r="O307" s="35"/>
    </row>
    <row r="308" spans="15:15">
      <c r="O308" s="35"/>
    </row>
    <row r="309" spans="15:15">
      <c r="O309" s="35"/>
    </row>
    <row r="310" spans="15:15">
      <c r="O310" s="35"/>
    </row>
    <row r="311" spans="15:15">
      <c r="O311" s="35"/>
    </row>
    <row r="312" spans="15:15">
      <c r="O312" s="35"/>
    </row>
    <row r="313" spans="15:15">
      <c r="O313" s="35"/>
    </row>
    <row r="314" spans="15:15">
      <c r="O314" s="35"/>
    </row>
    <row r="315" spans="15:15">
      <c r="O315" s="35"/>
    </row>
    <row r="316" spans="15:15">
      <c r="O316" s="35"/>
    </row>
    <row r="317" spans="15:15">
      <c r="O317" s="35"/>
    </row>
    <row r="318" spans="15:15">
      <c r="O318" s="35"/>
    </row>
    <row r="319" spans="15:15">
      <c r="O319" s="35"/>
    </row>
    <row r="320" spans="15:15">
      <c r="O320" s="35"/>
    </row>
    <row r="321" spans="15:15">
      <c r="O321" s="35"/>
    </row>
    <row r="322" spans="15:15">
      <c r="O322" s="35"/>
    </row>
    <row r="323" spans="15:15">
      <c r="O323" s="35"/>
    </row>
    <row r="324" spans="15:15">
      <c r="O324" s="35"/>
    </row>
    <row r="325" spans="15:15">
      <c r="O325" s="35"/>
    </row>
    <row r="326" spans="15:15">
      <c r="O326" s="35"/>
    </row>
    <row r="327" spans="15:15">
      <c r="O327" s="35"/>
    </row>
    <row r="328" spans="15:15">
      <c r="O328" s="35"/>
    </row>
    <row r="329" spans="15:15">
      <c r="O329" s="35"/>
    </row>
    <row r="330" spans="15:15">
      <c r="O330" s="35"/>
    </row>
    <row r="331" spans="15:15">
      <c r="O331" s="35"/>
    </row>
    <row r="332" spans="15:15">
      <c r="O332" s="35"/>
    </row>
    <row r="333" spans="15:15">
      <c r="O333" s="35"/>
    </row>
    <row r="334" spans="15:15">
      <c r="O334" s="35"/>
    </row>
    <row r="335" spans="15:15">
      <c r="O335" s="35"/>
    </row>
    <row r="336" spans="15:15">
      <c r="O336" s="35"/>
    </row>
    <row r="337" spans="15:15">
      <c r="O337" s="35"/>
    </row>
    <row r="338" spans="15:15">
      <c r="O338" s="35"/>
    </row>
    <row r="339" spans="15:15">
      <c r="O339" s="35"/>
    </row>
    <row r="340" spans="15:15">
      <c r="O340" s="35"/>
    </row>
    <row r="341" spans="15:15">
      <c r="O341" s="35"/>
    </row>
    <row r="342" spans="15:15">
      <c r="O342" s="35"/>
    </row>
    <row r="343" spans="15:15">
      <c r="O343" s="35"/>
    </row>
    <row r="344" spans="15:15">
      <c r="O344" s="35"/>
    </row>
    <row r="345" spans="15:15">
      <c r="O345" s="35"/>
    </row>
    <row r="346" spans="15:15">
      <c r="O346" s="35"/>
    </row>
    <row r="347" spans="15:15">
      <c r="O347" s="35"/>
    </row>
    <row r="348" spans="15:15">
      <c r="O348" s="35"/>
    </row>
    <row r="349" spans="15:15">
      <c r="O349" s="35"/>
    </row>
    <row r="350" spans="15:15">
      <c r="O350" s="35"/>
    </row>
    <row r="351" spans="15:15">
      <c r="O351" s="35"/>
    </row>
    <row r="352" spans="15:15">
      <c r="O352" s="35"/>
    </row>
    <row r="353" spans="15:15">
      <c r="O353" s="35"/>
    </row>
    <row r="354" spans="15:15">
      <c r="O354" s="35"/>
    </row>
    <row r="355" spans="15:15">
      <c r="O355" s="35"/>
    </row>
    <row r="356" spans="15:15">
      <c r="O356" s="35"/>
    </row>
    <row r="357" spans="15:15">
      <c r="O357" s="35"/>
    </row>
    <row r="358" spans="15:15">
      <c r="O358" s="35"/>
    </row>
    <row r="359" spans="15:15">
      <c r="O359" s="35"/>
    </row>
    <row r="360" spans="15:15">
      <c r="O360" s="35"/>
    </row>
    <row r="361" spans="15:15">
      <c r="O361" s="35"/>
    </row>
    <row r="362" spans="15:15">
      <c r="O362" s="35"/>
    </row>
    <row r="363" spans="15:15">
      <c r="O363" s="35"/>
    </row>
    <row r="364" spans="15:15">
      <c r="O364" s="35"/>
    </row>
    <row r="365" spans="15:15">
      <c r="O365" s="35"/>
    </row>
    <row r="366" spans="15:15">
      <c r="O366" s="35"/>
    </row>
    <row r="367" spans="15:15">
      <c r="O367" s="35"/>
    </row>
    <row r="368" spans="15:15">
      <c r="O368" s="35"/>
    </row>
    <row r="369" spans="15:15">
      <c r="O369" s="35"/>
    </row>
    <row r="370" spans="15:15">
      <c r="O370" s="35"/>
    </row>
    <row r="371" spans="15:15">
      <c r="O371" s="35"/>
    </row>
    <row r="372" spans="15:15">
      <c r="O372" s="35"/>
    </row>
    <row r="373" spans="15:15">
      <c r="O373" s="35"/>
    </row>
    <row r="374" spans="15:15">
      <c r="O374" s="35"/>
    </row>
    <row r="375" spans="15:15">
      <c r="O375" s="35"/>
    </row>
    <row r="376" spans="15:15">
      <c r="O376" s="35"/>
    </row>
    <row r="377" spans="15:15">
      <c r="O377" s="35"/>
    </row>
    <row r="378" spans="15:15">
      <c r="O378" s="35"/>
    </row>
    <row r="379" spans="15:15">
      <c r="O379" s="35"/>
    </row>
    <row r="380" spans="15:15">
      <c r="O380" s="35"/>
    </row>
    <row r="381" spans="15:15">
      <c r="O381" s="35"/>
    </row>
    <row r="382" spans="15:15">
      <c r="O382" s="35"/>
    </row>
    <row r="383" spans="15:15">
      <c r="O383" s="35"/>
    </row>
    <row r="384" spans="15:15">
      <c r="O384" s="35"/>
    </row>
    <row r="385" spans="15:15">
      <c r="O385" s="35"/>
    </row>
    <row r="386" spans="15:15">
      <c r="O386" s="35"/>
    </row>
    <row r="387" spans="15:15">
      <c r="O387" s="35"/>
    </row>
    <row r="388" spans="15:15">
      <c r="O388" s="35"/>
    </row>
    <row r="389" spans="15:15">
      <c r="O389" s="35"/>
    </row>
    <row r="390" spans="15:15">
      <c r="O390" s="35"/>
    </row>
    <row r="391" spans="15:15">
      <c r="O391" s="35"/>
    </row>
    <row r="392" spans="15:15">
      <c r="O392" s="35"/>
    </row>
    <row r="393" spans="15:15">
      <c r="O393" s="35"/>
    </row>
    <row r="394" spans="15:15">
      <c r="O394" s="35"/>
    </row>
    <row r="395" spans="15:15">
      <c r="O395" s="35"/>
    </row>
    <row r="396" spans="15:15">
      <c r="O396" s="35"/>
    </row>
    <row r="397" spans="15:15">
      <c r="O397" s="35"/>
    </row>
    <row r="398" spans="15:15">
      <c r="O398" s="35"/>
    </row>
    <row r="399" spans="15:15">
      <c r="O399" s="35"/>
    </row>
    <row r="400" spans="15:15">
      <c r="O400" s="35"/>
    </row>
    <row r="401" spans="15:15">
      <c r="O401" s="35"/>
    </row>
    <row r="402" spans="15:15">
      <c r="O402" s="35"/>
    </row>
    <row r="403" spans="15:15">
      <c r="O403" s="35"/>
    </row>
    <row r="404" spans="15:15">
      <c r="O404" s="35"/>
    </row>
    <row r="405" spans="15:15">
      <c r="O405" s="35"/>
    </row>
    <row r="406" spans="15:15">
      <c r="O406" s="35"/>
    </row>
    <row r="407" spans="15:15">
      <c r="O407" s="35"/>
    </row>
    <row r="408" spans="15:15">
      <c r="O408" s="35"/>
    </row>
    <row r="409" spans="15:15">
      <c r="O409" s="35"/>
    </row>
    <row r="410" spans="15:15">
      <c r="O410" s="35"/>
    </row>
    <row r="411" spans="15:15">
      <c r="O411" s="35"/>
    </row>
    <row r="412" spans="15:15">
      <c r="O412" s="35"/>
    </row>
    <row r="413" spans="15:15">
      <c r="O413" s="35"/>
    </row>
    <row r="414" spans="15:15">
      <c r="O414" s="35"/>
    </row>
    <row r="415" spans="15:15">
      <c r="O415" s="35"/>
    </row>
    <row r="416" spans="15:15">
      <c r="O416" s="35"/>
    </row>
    <row r="417" spans="15:15">
      <c r="O417" s="35"/>
    </row>
    <row r="418" spans="15:15">
      <c r="O418" s="35"/>
    </row>
    <row r="419" spans="15:15">
      <c r="O419" s="35"/>
    </row>
    <row r="420" spans="15:15">
      <c r="O420" s="35"/>
    </row>
    <row r="421" spans="15:15">
      <c r="O421" s="35"/>
    </row>
    <row r="422" spans="15:15">
      <c r="O422" s="35"/>
    </row>
    <row r="423" spans="15:15">
      <c r="O423" s="35"/>
    </row>
    <row r="424" spans="15:15">
      <c r="O424" s="35"/>
    </row>
    <row r="425" spans="15:15">
      <c r="O425" s="35"/>
    </row>
    <row r="426" spans="15:15">
      <c r="O426" s="35"/>
    </row>
    <row r="427" spans="15:15">
      <c r="O427" s="35"/>
    </row>
    <row r="428" spans="15:15">
      <c r="O428" s="35"/>
    </row>
    <row r="429" spans="15:15">
      <c r="O429" s="35"/>
    </row>
    <row r="430" spans="15:15">
      <c r="O430" s="35"/>
    </row>
    <row r="431" spans="15:15">
      <c r="O431" s="35"/>
    </row>
    <row r="432" spans="15:15">
      <c r="O432" s="35"/>
    </row>
    <row r="433" spans="15:15">
      <c r="O433" s="35"/>
    </row>
    <row r="434" spans="15:15">
      <c r="O434" s="35"/>
    </row>
    <row r="435" spans="15:15">
      <c r="O435" s="35"/>
    </row>
    <row r="436" spans="15:15">
      <c r="O436" s="35"/>
    </row>
    <row r="437" spans="15:15">
      <c r="O437" s="35"/>
    </row>
    <row r="438" spans="15:15">
      <c r="O438" s="35"/>
    </row>
    <row r="439" spans="15:15">
      <c r="O439" s="35"/>
    </row>
    <row r="440" spans="15:15">
      <c r="O440" s="35"/>
    </row>
    <row r="441" spans="15:15">
      <c r="O441" s="35"/>
    </row>
    <row r="442" spans="15:15">
      <c r="O442" s="35"/>
    </row>
    <row r="443" spans="15:15">
      <c r="O443" s="35"/>
    </row>
    <row r="444" spans="15:15">
      <c r="O444" s="35"/>
    </row>
    <row r="445" spans="15:15">
      <c r="O445" s="35"/>
    </row>
    <row r="446" spans="15:15">
      <c r="O446" s="35"/>
    </row>
    <row r="447" spans="15:15">
      <c r="O447" s="35"/>
    </row>
    <row r="448" spans="15:15">
      <c r="O448" s="35"/>
    </row>
    <row r="449" spans="15:15">
      <c r="O449" s="35"/>
    </row>
    <row r="450" spans="15:15">
      <c r="O450" s="35"/>
    </row>
    <row r="451" spans="15:15">
      <c r="O451" s="35"/>
    </row>
    <row r="452" spans="15:15">
      <c r="O452" s="35"/>
    </row>
    <row r="453" spans="15:15">
      <c r="O453" s="35"/>
    </row>
    <row r="454" spans="15:15">
      <c r="O454" s="35"/>
    </row>
    <row r="455" spans="15:15">
      <c r="O455" s="35"/>
    </row>
    <row r="456" spans="15:15">
      <c r="O456" s="35"/>
    </row>
    <row r="457" spans="15:15">
      <c r="O457" s="35"/>
    </row>
    <row r="458" spans="15:15">
      <c r="O458" s="35"/>
    </row>
    <row r="459" spans="15:15">
      <c r="O459" s="35"/>
    </row>
    <row r="460" spans="15:15">
      <c r="O460" s="35"/>
    </row>
    <row r="461" spans="15:15">
      <c r="O461" s="35"/>
    </row>
    <row r="462" spans="15:15">
      <c r="O462" s="35"/>
    </row>
    <row r="463" spans="15:15">
      <c r="O463" s="35"/>
    </row>
    <row r="464" spans="15:15">
      <c r="O464" s="35"/>
    </row>
    <row r="465" spans="15:15">
      <c r="O465" s="35"/>
    </row>
    <row r="466" spans="15:15">
      <c r="O466" s="35"/>
    </row>
    <row r="467" spans="15:15">
      <c r="O467" s="35"/>
    </row>
    <row r="468" spans="15:15">
      <c r="O468" s="35"/>
    </row>
    <row r="469" spans="15:15">
      <c r="O469" s="35"/>
    </row>
    <row r="470" spans="15:15">
      <c r="O470" s="35"/>
    </row>
    <row r="471" spans="15:15">
      <c r="O471" s="35"/>
    </row>
    <row r="472" spans="15:15">
      <c r="O472" s="35"/>
    </row>
    <row r="473" spans="15:15">
      <c r="O473" s="35"/>
    </row>
    <row r="474" spans="15:15">
      <c r="O474" s="35"/>
    </row>
    <row r="475" spans="15:15">
      <c r="O475" s="35"/>
    </row>
    <row r="476" spans="15:15">
      <c r="O476" s="35"/>
    </row>
    <row r="477" spans="15:15">
      <c r="O477" s="35"/>
    </row>
    <row r="478" spans="15:15">
      <c r="O478" s="35"/>
    </row>
    <row r="479" spans="15:15">
      <c r="O479" s="35"/>
    </row>
    <row r="480" spans="15:15">
      <c r="O480" s="35"/>
    </row>
    <row r="481" spans="15:15">
      <c r="O481" s="35"/>
    </row>
    <row r="482" spans="15:15">
      <c r="O482" s="35"/>
    </row>
    <row r="483" spans="15:15">
      <c r="O483" s="35"/>
    </row>
    <row r="484" spans="15:15">
      <c r="O484" s="35"/>
    </row>
    <row r="485" spans="15:15">
      <c r="O485" s="35"/>
    </row>
    <row r="486" spans="15:15">
      <c r="O486" s="35"/>
    </row>
    <row r="487" spans="15:15">
      <c r="O487" s="35"/>
    </row>
    <row r="488" spans="15:15">
      <c r="O488" s="35"/>
    </row>
    <row r="489" spans="15:15">
      <c r="O489" s="35"/>
    </row>
    <row r="490" spans="15:15">
      <c r="O490" s="35"/>
    </row>
    <row r="491" spans="15:15">
      <c r="O491" s="35"/>
    </row>
    <row r="492" spans="15:15">
      <c r="O492" s="35"/>
    </row>
    <row r="493" spans="15:15">
      <c r="O493" s="35"/>
    </row>
    <row r="494" spans="15:15">
      <c r="O494" s="35"/>
    </row>
    <row r="495" spans="15:15">
      <c r="O495" s="35"/>
    </row>
    <row r="496" spans="15:15">
      <c r="O496" s="35"/>
    </row>
    <row r="497" spans="15:15">
      <c r="O497" s="35"/>
    </row>
    <row r="498" spans="15:15">
      <c r="O498" s="35"/>
    </row>
    <row r="499" spans="15:15">
      <c r="O499" s="35"/>
    </row>
    <row r="500" spans="15:15">
      <c r="O500" s="35"/>
    </row>
    <row r="501" spans="15:15">
      <c r="O501" s="35"/>
    </row>
    <row r="502" spans="15:15">
      <c r="O502" s="35"/>
    </row>
    <row r="503" spans="15:15">
      <c r="O503" s="35"/>
    </row>
    <row r="504" spans="15:15">
      <c r="O504" s="35"/>
    </row>
    <row r="505" spans="15:15">
      <c r="O505" s="35"/>
    </row>
    <row r="506" spans="15:15">
      <c r="O506" s="35"/>
    </row>
    <row r="507" spans="15:15">
      <c r="O507" s="35"/>
    </row>
    <row r="508" spans="15:15">
      <c r="O508" s="35"/>
    </row>
    <row r="509" spans="15:15">
      <c r="O509" s="35"/>
    </row>
    <row r="510" spans="15:15">
      <c r="O510" s="35"/>
    </row>
    <row r="511" spans="15:15">
      <c r="O511" s="35"/>
    </row>
    <row r="512" spans="15:15">
      <c r="O512" s="35"/>
    </row>
    <row r="513" spans="15:15">
      <c r="O513" s="35"/>
    </row>
    <row r="514" spans="15:15">
      <c r="O514" s="35"/>
    </row>
    <row r="515" spans="15:15">
      <c r="O515" s="35"/>
    </row>
    <row r="516" spans="15:15">
      <c r="O516" s="35"/>
    </row>
    <row r="517" spans="15:15">
      <c r="O517" s="35"/>
    </row>
    <row r="518" spans="15:15">
      <c r="O518" s="35"/>
    </row>
    <row r="519" spans="15:15">
      <c r="O519" s="35"/>
    </row>
    <row r="520" spans="15:15">
      <c r="O520" s="35"/>
    </row>
    <row r="521" spans="15:15">
      <c r="O521" s="35"/>
    </row>
    <row r="522" spans="15:15">
      <c r="O522" s="35"/>
    </row>
    <row r="523" spans="15:15">
      <c r="O523" s="35"/>
    </row>
    <row r="524" spans="15:15">
      <c r="O524" s="35"/>
    </row>
    <row r="525" spans="15:15">
      <c r="O525" s="35"/>
    </row>
    <row r="526" spans="15:15">
      <c r="O526" s="35"/>
    </row>
    <row r="527" spans="15:15">
      <c r="O527" s="35"/>
    </row>
    <row r="528" spans="15:15">
      <c r="O528" s="35"/>
    </row>
    <row r="529" spans="15:15">
      <c r="O529" s="35"/>
    </row>
    <row r="530" spans="15:15">
      <c r="O530" s="35"/>
    </row>
    <row r="531" spans="15:15">
      <c r="O531" s="35"/>
    </row>
    <row r="532" spans="15:15">
      <c r="O532" s="35"/>
    </row>
    <row r="533" spans="15:15">
      <c r="O533" s="35"/>
    </row>
    <row r="534" spans="15:15">
      <c r="O534" s="35"/>
    </row>
    <row r="535" spans="15:15">
      <c r="O535" s="35"/>
    </row>
    <row r="536" spans="15:15">
      <c r="O536" s="35"/>
    </row>
    <row r="537" spans="15:15">
      <c r="O537" s="35"/>
    </row>
    <row r="538" spans="15:15">
      <c r="O538" s="35"/>
    </row>
    <row r="539" spans="15:15">
      <c r="O539" s="35"/>
    </row>
    <row r="540" spans="15:15">
      <c r="O540" s="35"/>
    </row>
    <row r="541" spans="15:15">
      <c r="O541" s="35"/>
    </row>
    <row r="542" spans="15:15">
      <c r="O542" s="35"/>
    </row>
    <row r="543" spans="15:15">
      <c r="O543" s="35"/>
    </row>
    <row r="544" spans="15:15">
      <c r="O544" s="35"/>
    </row>
    <row r="545" spans="15:15">
      <c r="O545" s="35"/>
    </row>
    <row r="546" spans="15:15">
      <c r="O546" s="35"/>
    </row>
    <row r="547" spans="15:15">
      <c r="O547" s="35"/>
    </row>
    <row r="548" spans="15:15">
      <c r="O548" s="35"/>
    </row>
    <row r="549" spans="15:15">
      <c r="O549" s="35"/>
    </row>
    <row r="550" spans="15:15">
      <c r="O550" s="35"/>
    </row>
    <row r="551" spans="15:15">
      <c r="O551" s="35"/>
    </row>
    <row r="552" spans="15:15">
      <c r="O552" s="35"/>
    </row>
    <row r="553" spans="15:15">
      <c r="O553" s="35"/>
    </row>
    <row r="554" spans="15:15">
      <c r="O554" s="35"/>
    </row>
    <row r="555" spans="15:15">
      <c r="O555" s="35"/>
    </row>
    <row r="556" spans="15:15">
      <c r="O556" s="35"/>
    </row>
    <row r="557" spans="15:15">
      <c r="O557" s="35"/>
    </row>
    <row r="558" spans="15:15">
      <c r="O558" s="35"/>
    </row>
    <row r="559" spans="15:15">
      <c r="O559" s="35"/>
    </row>
    <row r="560" spans="15:15">
      <c r="O560" s="35"/>
    </row>
    <row r="561" spans="15:15">
      <c r="O561" s="35"/>
    </row>
    <row r="562" spans="15:15">
      <c r="O562" s="35"/>
    </row>
    <row r="563" spans="15:15">
      <c r="O563" s="35"/>
    </row>
    <row r="564" spans="15:15">
      <c r="O564" s="35"/>
    </row>
    <row r="565" spans="15:15">
      <c r="O565" s="35"/>
    </row>
    <row r="566" spans="15:15">
      <c r="O566" s="35"/>
    </row>
    <row r="567" spans="15:15">
      <c r="O567" s="35"/>
    </row>
    <row r="568" spans="15:15">
      <c r="O568" s="35"/>
    </row>
    <row r="569" spans="15:15">
      <c r="O569" s="35"/>
    </row>
    <row r="570" spans="15:15">
      <c r="O570" s="35"/>
    </row>
    <row r="571" spans="15:15">
      <c r="O571" s="35"/>
    </row>
    <row r="572" spans="15:15">
      <c r="O572" s="35"/>
    </row>
    <row r="573" spans="15:15">
      <c r="O573" s="35"/>
    </row>
    <row r="574" spans="15:15">
      <c r="O574" s="35"/>
    </row>
    <row r="575" spans="15:15">
      <c r="O575" s="35"/>
    </row>
    <row r="576" spans="15:15">
      <c r="O576" s="35"/>
    </row>
    <row r="577" spans="15:15">
      <c r="O577" s="35"/>
    </row>
    <row r="578" spans="15:15">
      <c r="O578" s="35"/>
    </row>
    <row r="579" spans="15:15">
      <c r="O579" s="35"/>
    </row>
    <row r="580" spans="15:15">
      <c r="O580" s="35"/>
    </row>
    <row r="581" spans="15:15">
      <c r="O581" s="35"/>
    </row>
    <row r="582" spans="15:15">
      <c r="O582" s="35"/>
    </row>
    <row r="583" spans="15:15">
      <c r="O583" s="35"/>
    </row>
    <row r="584" spans="15:15">
      <c r="O584" s="35"/>
    </row>
    <row r="585" spans="15:15">
      <c r="O585" s="35"/>
    </row>
    <row r="586" spans="15:15">
      <c r="O586" s="35"/>
    </row>
    <row r="587" spans="15:15">
      <c r="O587" s="35"/>
    </row>
    <row r="588" spans="15:15">
      <c r="O588" s="35"/>
    </row>
    <row r="589" spans="15:15">
      <c r="O589" s="35"/>
    </row>
    <row r="590" spans="15:15">
      <c r="O590" s="35"/>
    </row>
    <row r="591" spans="15:15">
      <c r="O591" s="35"/>
    </row>
    <row r="592" spans="15:15">
      <c r="O592" s="35"/>
    </row>
    <row r="593" spans="15:15">
      <c r="O593" s="35"/>
    </row>
    <row r="594" spans="15:15">
      <c r="O594" s="35"/>
    </row>
    <row r="595" spans="15:15">
      <c r="O595" s="35"/>
    </row>
    <row r="596" spans="15:15">
      <c r="O596" s="35"/>
    </row>
    <row r="597" spans="15:15">
      <c r="O597" s="35"/>
    </row>
    <row r="598" spans="15:15">
      <c r="O598" s="35"/>
    </row>
    <row r="599" spans="15:15">
      <c r="O599" s="35"/>
    </row>
    <row r="600" spans="15:15">
      <c r="O600" s="35"/>
    </row>
    <row r="601" spans="15:15">
      <c r="O601" s="35"/>
    </row>
    <row r="602" spans="15:15">
      <c r="O602" s="35"/>
    </row>
    <row r="603" spans="15:15">
      <c r="O603" s="35"/>
    </row>
    <row r="604" spans="15:15">
      <c r="O604" s="35"/>
    </row>
    <row r="605" spans="15:15">
      <c r="O605" s="35"/>
    </row>
    <row r="606" spans="15:15">
      <c r="O606" s="35"/>
    </row>
    <row r="607" spans="15:15">
      <c r="O607" s="35"/>
    </row>
    <row r="608" spans="15:15">
      <c r="O608" s="35"/>
    </row>
    <row r="609" spans="15:15">
      <c r="O609" s="35"/>
    </row>
    <row r="610" spans="15:15">
      <c r="O610" s="35"/>
    </row>
    <row r="611" spans="15:15">
      <c r="O611" s="35"/>
    </row>
    <row r="612" spans="15:15">
      <c r="O612" s="35"/>
    </row>
    <row r="613" spans="15:15">
      <c r="O613" s="35"/>
    </row>
    <row r="614" spans="15:15">
      <c r="O614" s="35"/>
    </row>
    <row r="615" spans="15:15">
      <c r="O615" s="35"/>
    </row>
    <row r="616" spans="15:15">
      <c r="O616" s="35"/>
    </row>
    <row r="617" spans="15:15">
      <c r="O617" s="35"/>
    </row>
    <row r="618" spans="15:15">
      <c r="O618" s="35"/>
    </row>
    <row r="619" spans="15:15">
      <c r="O619" s="35"/>
    </row>
    <row r="620" spans="15:15">
      <c r="O620" s="35"/>
    </row>
    <row r="621" spans="15:15">
      <c r="O621" s="35"/>
    </row>
    <row r="622" spans="15:15">
      <c r="O622" s="35"/>
    </row>
    <row r="623" spans="15:15">
      <c r="O623" s="35"/>
    </row>
    <row r="624" spans="15:15">
      <c r="O624" s="35"/>
    </row>
    <row r="625" spans="15:15">
      <c r="O625" s="35"/>
    </row>
    <row r="626" spans="15:15">
      <c r="O626" s="35"/>
    </row>
    <row r="627" spans="15:15">
      <c r="O627" s="35"/>
    </row>
    <row r="628" spans="15:15">
      <c r="O628" s="35"/>
    </row>
    <row r="629" spans="15:15">
      <c r="O629" s="35"/>
    </row>
    <row r="630" spans="15:15">
      <c r="O630" s="35"/>
    </row>
    <row r="631" spans="15:15">
      <c r="O631" s="35"/>
    </row>
    <row r="632" spans="15:15">
      <c r="O632" s="35"/>
    </row>
    <row r="633" spans="15:15">
      <c r="O633" s="35"/>
    </row>
    <row r="634" spans="15:15">
      <c r="O634" s="35"/>
    </row>
    <row r="635" spans="15:15">
      <c r="O635" s="35"/>
    </row>
    <row r="636" spans="15:15">
      <c r="O636" s="35"/>
    </row>
    <row r="637" spans="15:15">
      <c r="O637" s="35"/>
    </row>
    <row r="638" spans="15:15">
      <c r="O638" s="35"/>
    </row>
    <row r="639" spans="15:15">
      <c r="O639" s="35"/>
    </row>
    <row r="640" spans="15:15">
      <c r="O640" s="35"/>
    </row>
    <row r="641" spans="15:15">
      <c r="O641" s="35"/>
    </row>
    <row r="642" spans="15:15">
      <c r="O642" s="35"/>
    </row>
    <row r="643" spans="15:15">
      <c r="O643" s="35"/>
    </row>
    <row r="644" spans="15:15">
      <c r="O644" s="35"/>
    </row>
    <row r="645" spans="15:15">
      <c r="O645" s="35"/>
    </row>
    <row r="646" spans="15:15">
      <c r="O646" s="35"/>
    </row>
    <row r="647" spans="15:15">
      <c r="O647" s="35"/>
    </row>
    <row r="648" spans="15:15">
      <c r="O648" s="35"/>
    </row>
    <row r="649" spans="15:15">
      <c r="O649" s="35"/>
    </row>
    <row r="650" spans="15:15">
      <c r="O650" s="35"/>
    </row>
    <row r="651" spans="15:15">
      <c r="O651" s="35"/>
    </row>
    <row r="652" spans="15:15">
      <c r="O652" s="35"/>
    </row>
    <row r="653" spans="15:15">
      <c r="O653" s="35"/>
    </row>
    <row r="654" spans="15:15">
      <c r="O654" s="35"/>
    </row>
    <row r="655" spans="15:15">
      <c r="O655" s="35"/>
    </row>
    <row r="656" spans="15:15">
      <c r="O656" s="35"/>
    </row>
    <row r="657" spans="15:15">
      <c r="O657" s="35"/>
    </row>
    <row r="658" spans="15:15">
      <c r="O658" s="35"/>
    </row>
    <row r="659" spans="15:15">
      <c r="O659" s="35"/>
    </row>
    <row r="660" spans="15:15">
      <c r="O660" s="35"/>
    </row>
    <row r="661" spans="15:15">
      <c r="O661" s="35"/>
    </row>
    <row r="662" spans="15:15">
      <c r="O662" s="35"/>
    </row>
    <row r="663" spans="15:15">
      <c r="O663" s="35"/>
    </row>
    <row r="664" spans="15:15">
      <c r="O664" s="35"/>
    </row>
    <row r="665" spans="15:15">
      <c r="O665" s="35"/>
    </row>
    <row r="666" spans="15:15">
      <c r="O666" s="35"/>
    </row>
    <row r="667" spans="15:15">
      <c r="O667" s="35"/>
    </row>
    <row r="668" spans="15:15">
      <c r="O668" s="35"/>
    </row>
    <row r="669" spans="15:15">
      <c r="O669" s="35"/>
    </row>
    <row r="670" spans="15:15">
      <c r="O670" s="35"/>
    </row>
    <row r="671" spans="15:15">
      <c r="O671" s="35"/>
    </row>
    <row r="672" spans="15:15">
      <c r="O672" s="35"/>
    </row>
    <row r="673" spans="15:15">
      <c r="O673" s="35"/>
    </row>
    <row r="674" spans="15:15">
      <c r="O674" s="35"/>
    </row>
    <row r="675" spans="15:15">
      <c r="O675" s="35"/>
    </row>
    <row r="676" spans="15:15">
      <c r="O676" s="35"/>
    </row>
    <row r="677" spans="15:15">
      <c r="O677" s="35"/>
    </row>
    <row r="678" spans="15:15">
      <c r="O678" s="35"/>
    </row>
    <row r="679" spans="15:15">
      <c r="O679" s="35"/>
    </row>
    <row r="680" spans="15:15">
      <c r="O680" s="35"/>
    </row>
    <row r="681" spans="15:15">
      <c r="O681" s="35"/>
    </row>
    <row r="682" spans="15:15">
      <c r="O682" s="35"/>
    </row>
    <row r="683" spans="15:15">
      <c r="O683" s="35"/>
    </row>
    <row r="684" spans="15:15">
      <c r="O684" s="35"/>
    </row>
    <row r="685" spans="15:15">
      <c r="O685" s="35"/>
    </row>
    <row r="686" spans="15:15">
      <c r="O686" s="35"/>
    </row>
    <row r="687" spans="15:15">
      <c r="O687" s="35"/>
    </row>
    <row r="688" spans="15:15">
      <c r="O688" s="35"/>
    </row>
    <row r="689" spans="15:15">
      <c r="O689" s="35"/>
    </row>
    <row r="690" spans="15:15">
      <c r="O690" s="35"/>
    </row>
    <row r="691" spans="15:15">
      <c r="O691" s="35"/>
    </row>
    <row r="692" spans="15:15">
      <c r="O692" s="35"/>
    </row>
    <row r="693" spans="15:15">
      <c r="O693" s="35"/>
    </row>
    <row r="694" spans="15:15">
      <c r="O694" s="35"/>
    </row>
    <row r="695" spans="15:15">
      <c r="O695" s="35"/>
    </row>
    <row r="696" spans="15:15">
      <c r="O696" s="35"/>
    </row>
    <row r="697" spans="15:15">
      <c r="O697" s="35"/>
    </row>
    <row r="698" spans="15:15">
      <c r="O698" s="35"/>
    </row>
    <row r="699" spans="15:15">
      <c r="O699" s="35"/>
    </row>
    <row r="700" spans="15:15">
      <c r="O700" s="35"/>
    </row>
    <row r="701" spans="15:15">
      <c r="O701" s="35"/>
    </row>
    <row r="702" spans="15:15">
      <c r="O702" s="35"/>
    </row>
    <row r="703" spans="15:15">
      <c r="O703" s="35"/>
    </row>
    <row r="704" spans="15:15">
      <c r="O704" s="35"/>
    </row>
    <row r="705" spans="15:15">
      <c r="O705" s="35"/>
    </row>
    <row r="706" spans="15:15">
      <c r="O706" s="35"/>
    </row>
    <row r="707" spans="15:15">
      <c r="O707" s="35"/>
    </row>
    <row r="708" spans="15:15">
      <c r="O708" s="35"/>
    </row>
    <row r="709" spans="15:15">
      <c r="O709" s="35"/>
    </row>
    <row r="710" spans="15:15">
      <c r="O710" s="35"/>
    </row>
    <row r="711" spans="15:15">
      <c r="O711" s="35"/>
    </row>
    <row r="712" spans="15:15">
      <c r="O712" s="35"/>
    </row>
    <row r="713" spans="15:15">
      <c r="O713" s="35"/>
    </row>
    <row r="714" spans="15:15">
      <c r="O714" s="35"/>
    </row>
    <row r="715" spans="15:15">
      <c r="O715" s="35"/>
    </row>
    <row r="716" spans="15:15">
      <c r="O716" s="35"/>
    </row>
    <row r="717" spans="15:15">
      <c r="O717" s="35"/>
    </row>
    <row r="718" spans="15:15">
      <c r="O718" s="35"/>
    </row>
    <row r="719" spans="15:15">
      <c r="O719" s="35"/>
    </row>
    <row r="720" spans="15:15">
      <c r="O720" s="35"/>
    </row>
    <row r="721" spans="15:15">
      <c r="O721" s="35"/>
    </row>
    <row r="722" spans="15:15">
      <c r="O722" s="35"/>
    </row>
    <row r="723" spans="15:15">
      <c r="O723" s="35"/>
    </row>
    <row r="724" spans="15:15">
      <c r="O724" s="35"/>
    </row>
    <row r="725" spans="15:15">
      <c r="O725" s="35"/>
    </row>
    <row r="726" spans="15:15">
      <c r="O726" s="35"/>
    </row>
    <row r="727" spans="15:15">
      <c r="O727" s="35"/>
    </row>
    <row r="728" spans="15:15">
      <c r="O728" s="35"/>
    </row>
    <row r="729" spans="15:15">
      <c r="O729" s="35"/>
    </row>
    <row r="730" spans="15:15">
      <c r="O730" s="35"/>
    </row>
    <row r="731" spans="15:15">
      <c r="O731" s="35"/>
    </row>
    <row r="732" spans="15:15">
      <c r="O732" s="35"/>
    </row>
    <row r="733" spans="15:15">
      <c r="O733" s="35"/>
    </row>
    <row r="734" spans="15:15">
      <c r="O734" s="35"/>
    </row>
    <row r="735" spans="15:15">
      <c r="O735" s="35"/>
    </row>
    <row r="736" spans="15:15">
      <c r="O736" s="35"/>
    </row>
    <row r="737" spans="15:15">
      <c r="O737" s="35"/>
    </row>
    <row r="738" spans="15:15">
      <c r="O738" s="35"/>
    </row>
    <row r="739" spans="15:15">
      <c r="O739" s="35"/>
    </row>
    <row r="740" spans="15:15">
      <c r="O740" s="35"/>
    </row>
    <row r="741" spans="15:15">
      <c r="O741" s="35"/>
    </row>
    <row r="742" spans="15:15">
      <c r="O742" s="35"/>
    </row>
    <row r="743" spans="15:15">
      <c r="O743" s="35"/>
    </row>
    <row r="744" spans="15:15">
      <c r="O744" s="35"/>
    </row>
    <row r="745" spans="15:15">
      <c r="O745" s="35"/>
    </row>
    <row r="746" spans="15:15">
      <c r="O746" s="35"/>
    </row>
    <row r="747" spans="15:15">
      <c r="O747" s="35"/>
    </row>
    <row r="748" spans="15:15">
      <c r="O748" s="35"/>
    </row>
    <row r="749" spans="15:15">
      <c r="O749" s="35"/>
    </row>
    <row r="750" spans="15:15">
      <c r="O750" s="35"/>
    </row>
    <row r="751" spans="15:15">
      <c r="O751" s="35"/>
    </row>
    <row r="752" spans="15:15">
      <c r="O752" s="35"/>
    </row>
    <row r="753" spans="15:15">
      <c r="O753" s="35"/>
    </row>
    <row r="754" spans="15:15">
      <c r="O754" s="35"/>
    </row>
    <row r="755" spans="15:15">
      <c r="O755" s="35"/>
    </row>
    <row r="756" spans="15:15">
      <c r="O756" s="35"/>
    </row>
    <row r="757" spans="15:15">
      <c r="O757" s="35"/>
    </row>
    <row r="758" spans="15:15">
      <c r="O758" s="35"/>
    </row>
    <row r="759" spans="15:15">
      <c r="O759" s="35"/>
    </row>
    <row r="760" spans="15:15">
      <c r="O760" s="35"/>
    </row>
    <row r="761" spans="15:15">
      <c r="O761" s="35"/>
    </row>
    <row r="762" spans="15:15">
      <c r="O762" s="35"/>
    </row>
    <row r="763" spans="15:15">
      <c r="O763" s="35"/>
    </row>
    <row r="764" spans="15:15">
      <c r="O764" s="35"/>
    </row>
    <row r="765" spans="15:15">
      <c r="O765" s="35"/>
    </row>
    <row r="766" spans="15:15">
      <c r="O766" s="35"/>
    </row>
    <row r="767" spans="15:15">
      <c r="O767" s="35"/>
    </row>
    <row r="768" spans="15:15">
      <c r="O768" s="35"/>
    </row>
    <row r="769" spans="15:15">
      <c r="O769" s="35"/>
    </row>
    <row r="770" spans="15:15">
      <c r="O770" s="35"/>
    </row>
    <row r="771" spans="15:15">
      <c r="O771" s="35"/>
    </row>
    <row r="772" spans="15:15">
      <c r="O772" s="35"/>
    </row>
    <row r="773" spans="15:15">
      <c r="O773" s="35"/>
    </row>
    <row r="774" spans="15:15">
      <c r="O774" s="35"/>
    </row>
    <row r="775" spans="15:15">
      <c r="O775" s="35"/>
    </row>
    <row r="776" spans="15:15">
      <c r="O776" s="35"/>
    </row>
    <row r="777" spans="15:15">
      <c r="O777" s="35"/>
    </row>
    <row r="778" spans="15:15">
      <c r="O778" s="35"/>
    </row>
    <row r="779" spans="15:15">
      <c r="O779" s="35"/>
    </row>
    <row r="780" spans="15:15">
      <c r="O780" s="35"/>
    </row>
    <row r="781" spans="15:15">
      <c r="O781" s="35"/>
    </row>
    <row r="782" spans="15:15">
      <c r="O782" s="35"/>
    </row>
    <row r="783" spans="15:15">
      <c r="O783" s="35"/>
    </row>
    <row r="784" spans="15:15">
      <c r="O784" s="35"/>
    </row>
    <row r="785" spans="15:15">
      <c r="O785" s="35"/>
    </row>
    <row r="786" spans="15:15">
      <c r="O786" s="35"/>
    </row>
    <row r="787" spans="15:15">
      <c r="O787" s="35"/>
    </row>
    <row r="788" spans="15:15">
      <c r="O788" s="35"/>
    </row>
    <row r="789" spans="15:15">
      <c r="O789" s="35"/>
    </row>
    <row r="790" spans="15:15">
      <c r="O790" s="35"/>
    </row>
    <row r="791" spans="15:15">
      <c r="O791" s="35"/>
    </row>
    <row r="792" spans="15:15">
      <c r="O792" s="35"/>
    </row>
    <row r="793" spans="15:15">
      <c r="O793" s="35"/>
    </row>
    <row r="794" spans="15:15">
      <c r="O794" s="35"/>
    </row>
    <row r="795" spans="15:15">
      <c r="O795" s="35"/>
    </row>
    <row r="796" spans="15:15">
      <c r="O796" s="35"/>
    </row>
    <row r="797" spans="15:15">
      <c r="O797" s="35"/>
    </row>
    <row r="798" spans="15:15">
      <c r="O798" s="35"/>
    </row>
    <row r="799" spans="15:15">
      <c r="O799" s="35"/>
    </row>
    <row r="800" spans="15:15">
      <c r="O800" s="35"/>
    </row>
    <row r="801" spans="15:15">
      <c r="O801" s="35"/>
    </row>
    <row r="802" spans="15:15">
      <c r="O802" s="35"/>
    </row>
    <row r="803" spans="15:15">
      <c r="O803" s="35"/>
    </row>
    <row r="804" spans="15:15">
      <c r="O804" s="35"/>
    </row>
    <row r="805" spans="15:15">
      <c r="O805" s="35"/>
    </row>
    <row r="806" spans="15:15">
      <c r="O806" s="35"/>
    </row>
    <row r="807" spans="15:15">
      <c r="O807" s="35"/>
    </row>
    <row r="808" spans="15:15">
      <c r="O808" s="35"/>
    </row>
    <row r="809" spans="15:15">
      <c r="O809" s="35"/>
    </row>
    <row r="810" spans="15:15">
      <c r="O810" s="35"/>
    </row>
    <row r="811" spans="15:15">
      <c r="O811" s="35"/>
    </row>
    <row r="812" spans="15:15">
      <c r="O812" s="35"/>
    </row>
    <row r="813" spans="15:15">
      <c r="O813" s="35"/>
    </row>
    <row r="814" spans="15:15">
      <c r="O814" s="35"/>
    </row>
    <row r="815" spans="15:15">
      <c r="O815" s="35"/>
    </row>
    <row r="816" spans="15:15">
      <c r="O816" s="35"/>
    </row>
    <row r="817" spans="15:15">
      <c r="O817" s="35"/>
    </row>
    <row r="818" spans="15:15">
      <c r="O818" s="35"/>
    </row>
    <row r="819" spans="15:15">
      <c r="O819" s="35"/>
    </row>
    <row r="820" spans="15:15">
      <c r="O820" s="35"/>
    </row>
    <row r="821" spans="15:15">
      <c r="O821" s="35"/>
    </row>
    <row r="822" spans="15:15">
      <c r="O822" s="35"/>
    </row>
    <row r="823" spans="15:15">
      <c r="O823" s="35"/>
    </row>
    <row r="824" spans="15:15">
      <c r="O824" s="35"/>
    </row>
    <row r="825" spans="15:15">
      <c r="O825" s="35"/>
    </row>
    <row r="826" spans="15:15">
      <c r="O826" s="35"/>
    </row>
    <row r="827" spans="15:15">
      <c r="O827" s="35"/>
    </row>
    <row r="828" spans="15:15">
      <c r="O828" s="35"/>
    </row>
    <row r="829" spans="15:15">
      <c r="O829" s="35"/>
    </row>
    <row r="830" spans="15:15">
      <c r="O830" s="35"/>
    </row>
    <row r="831" spans="15:15">
      <c r="O831" s="35"/>
    </row>
    <row r="832" spans="15:15">
      <c r="O832" s="35"/>
    </row>
    <row r="833" spans="15:15">
      <c r="O833" s="35"/>
    </row>
    <row r="834" spans="15:15">
      <c r="O834" s="35"/>
    </row>
    <row r="835" spans="15:15">
      <c r="O835" s="35"/>
    </row>
    <row r="836" spans="15:15">
      <c r="O836" s="35"/>
    </row>
    <row r="837" spans="15:15">
      <c r="O837" s="35"/>
    </row>
    <row r="838" spans="15:15">
      <c r="O838" s="35"/>
    </row>
    <row r="839" spans="15:15">
      <c r="O839" s="35"/>
    </row>
    <row r="840" spans="15:15">
      <c r="O840" s="35"/>
    </row>
    <row r="841" spans="15:15">
      <c r="O841" s="35"/>
    </row>
    <row r="842" spans="15:15">
      <c r="O842" s="35"/>
    </row>
    <row r="843" spans="15:15">
      <c r="O843" s="35"/>
    </row>
    <row r="844" spans="15:15">
      <c r="O844" s="35"/>
    </row>
    <row r="845" spans="15:15">
      <c r="O845" s="35"/>
    </row>
    <row r="846" spans="15:15">
      <c r="O846" s="35"/>
    </row>
    <row r="847" spans="15:15">
      <c r="O847" s="35"/>
    </row>
    <row r="848" spans="15:15">
      <c r="O848" s="35"/>
    </row>
    <row r="849" spans="15:15">
      <c r="O849" s="35"/>
    </row>
    <row r="850" spans="15:15">
      <c r="O850" s="35"/>
    </row>
    <row r="851" spans="15:15">
      <c r="O851" s="35"/>
    </row>
    <row r="852" spans="15:15">
      <c r="O852" s="35"/>
    </row>
    <row r="853" spans="15:15">
      <c r="O853" s="35"/>
    </row>
    <row r="854" spans="15:15">
      <c r="O854" s="35"/>
    </row>
    <row r="855" spans="15:15">
      <c r="O855" s="35"/>
    </row>
    <row r="856" spans="15:15">
      <c r="O856" s="35"/>
    </row>
    <row r="857" spans="15:15">
      <c r="O857" s="35"/>
    </row>
    <row r="858" spans="15:15">
      <c r="O858" s="35"/>
    </row>
    <row r="859" spans="15:15">
      <c r="O859" s="35"/>
    </row>
    <row r="860" spans="15:15">
      <c r="O860" s="35"/>
    </row>
    <row r="861" spans="15:15">
      <c r="O861" s="35"/>
    </row>
    <row r="862" spans="15:15">
      <c r="O862" s="35"/>
    </row>
    <row r="863" spans="15:15">
      <c r="O863" s="35"/>
    </row>
    <row r="864" spans="15:15">
      <c r="O864" s="35"/>
    </row>
    <row r="865" spans="15:15">
      <c r="O865" s="35"/>
    </row>
    <row r="866" spans="15:15">
      <c r="O866" s="35"/>
    </row>
    <row r="867" spans="15:15">
      <c r="O867" s="35"/>
    </row>
    <row r="868" spans="15:15">
      <c r="O868" s="35"/>
    </row>
    <row r="869" spans="15:15">
      <c r="O869" s="35"/>
    </row>
    <row r="870" spans="15:15">
      <c r="O870" s="35"/>
    </row>
    <row r="871" spans="15:15">
      <c r="O871" s="35"/>
    </row>
    <row r="872" spans="15:15">
      <c r="O872" s="35"/>
    </row>
    <row r="873" spans="15:15">
      <c r="O873" s="35"/>
    </row>
    <row r="874" spans="15:15">
      <c r="O874" s="35"/>
    </row>
    <row r="875" spans="15:15">
      <c r="O875" s="35"/>
    </row>
    <row r="876" spans="15:15">
      <c r="O876" s="35"/>
    </row>
    <row r="877" spans="15:15">
      <c r="O877" s="35"/>
    </row>
    <row r="878" spans="15:15">
      <c r="O878" s="35"/>
    </row>
    <row r="879" spans="15:15">
      <c r="O879" s="35"/>
    </row>
    <row r="880" spans="15:15">
      <c r="O880" s="35"/>
    </row>
    <row r="881" spans="15:15">
      <c r="O881" s="35"/>
    </row>
    <row r="882" spans="15:15">
      <c r="O882" s="35"/>
    </row>
    <row r="883" spans="15:15">
      <c r="O883" s="35"/>
    </row>
    <row r="884" spans="15:15">
      <c r="O884" s="35"/>
    </row>
    <row r="885" spans="15:15">
      <c r="O885" s="35"/>
    </row>
    <row r="886" spans="15:15">
      <c r="O886" s="35"/>
    </row>
    <row r="887" spans="15:15">
      <c r="O887" s="35"/>
    </row>
    <row r="888" spans="15:15">
      <c r="O888" s="35"/>
    </row>
    <row r="889" spans="15:15">
      <c r="O889" s="35"/>
    </row>
    <row r="890" spans="15:15">
      <c r="O890" s="35"/>
    </row>
    <row r="891" spans="15:15">
      <c r="O891" s="35"/>
    </row>
    <row r="892" spans="15:15">
      <c r="O892" s="35"/>
    </row>
    <row r="893" spans="15:15">
      <c r="O893" s="35"/>
    </row>
    <row r="894" spans="15:15">
      <c r="O894" s="35"/>
    </row>
    <row r="895" spans="15:15">
      <c r="O895" s="35"/>
    </row>
    <row r="896" spans="15:15">
      <c r="O896" s="35"/>
    </row>
    <row r="897" spans="15:15">
      <c r="O897" s="35"/>
    </row>
    <row r="898" spans="15:15">
      <c r="O898" s="35"/>
    </row>
    <row r="899" spans="15:15">
      <c r="O899" s="35"/>
    </row>
    <row r="900" spans="15:15">
      <c r="O900" s="35"/>
    </row>
    <row r="901" spans="15:15">
      <c r="O901" s="35"/>
    </row>
    <row r="902" spans="15:15">
      <c r="O902" s="35"/>
    </row>
    <row r="903" spans="15:15">
      <c r="O903" s="35"/>
    </row>
    <row r="904" spans="15:15">
      <c r="O904" s="35"/>
    </row>
    <row r="905" spans="15:15">
      <c r="O905" s="35"/>
    </row>
    <row r="906" spans="15:15">
      <c r="O906" s="35"/>
    </row>
    <row r="907" spans="15:15">
      <c r="O907" s="35"/>
    </row>
    <row r="908" spans="15:15">
      <c r="O908" s="35"/>
    </row>
    <row r="909" spans="15:15">
      <c r="O909" s="35"/>
    </row>
    <row r="910" spans="15:15">
      <c r="O910" s="35"/>
    </row>
    <row r="911" spans="15:15">
      <c r="O911" s="35"/>
    </row>
    <row r="912" spans="15:15">
      <c r="O912" s="35"/>
    </row>
    <row r="913" spans="15:15">
      <c r="O913" s="35"/>
    </row>
    <row r="914" spans="15:15">
      <c r="O914" s="35"/>
    </row>
    <row r="915" spans="15:15">
      <c r="O915" s="35"/>
    </row>
    <row r="916" spans="15:15">
      <c r="O916" s="35"/>
    </row>
    <row r="917" spans="15:15">
      <c r="O917" s="35"/>
    </row>
    <row r="918" spans="15:15">
      <c r="O918" s="35"/>
    </row>
    <row r="919" spans="15:15">
      <c r="O919" s="35"/>
    </row>
    <row r="920" spans="15:15">
      <c r="O920" s="35"/>
    </row>
    <row r="921" spans="15:15">
      <c r="O921" s="35"/>
    </row>
    <row r="922" spans="15:15">
      <c r="O922" s="35"/>
    </row>
    <row r="923" spans="15:15">
      <c r="O923" s="35"/>
    </row>
    <row r="924" spans="15:15">
      <c r="O924" s="35"/>
    </row>
    <row r="925" spans="15:15">
      <c r="O925" s="35"/>
    </row>
    <row r="926" spans="15:15">
      <c r="O926" s="35"/>
    </row>
    <row r="927" spans="15:15">
      <c r="O927" s="35"/>
    </row>
    <row r="928" spans="15:15">
      <c r="O928" s="35"/>
    </row>
    <row r="929" spans="15:15">
      <c r="O929" s="35"/>
    </row>
    <row r="930" spans="15:15">
      <c r="O930" s="35"/>
    </row>
    <row r="931" spans="15:15">
      <c r="O931" s="35"/>
    </row>
    <row r="932" spans="15:15">
      <c r="O932" s="35"/>
    </row>
    <row r="933" spans="15:15">
      <c r="O933" s="35"/>
    </row>
    <row r="934" spans="15:15">
      <c r="O934" s="35"/>
    </row>
    <row r="935" spans="15:15">
      <c r="O935" s="35"/>
    </row>
    <row r="936" spans="15:15">
      <c r="O936" s="35"/>
    </row>
    <row r="937" spans="15:15">
      <c r="O937" s="35"/>
    </row>
    <row r="938" spans="15:15">
      <c r="O938" s="35"/>
    </row>
    <row r="939" spans="15:15">
      <c r="O939" s="35"/>
    </row>
    <row r="940" spans="15:15">
      <c r="O940" s="35"/>
    </row>
    <row r="941" spans="15:15">
      <c r="O941" s="35"/>
    </row>
    <row r="942" spans="15:15">
      <c r="O942" s="35"/>
    </row>
    <row r="943" spans="15:15">
      <c r="O943" s="35"/>
    </row>
    <row r="944" spans="15:15">
      <c r="O944" s="35"/>
    </row>
    <row r="945" spans="15:15">
      <c r="O945" s="35"/>
    </row>
    <row r="946" spans="15:15">
      <c r="O946" s="35"/>
    </row>
    <row r="947" spans="15:15">
      <c r="O947" s="35"/>
    </row>
    <row r="948" spans="15:15">
      <c r="O948" s="35"/>
    </row>
    <row r="949" spans="15:15">
      <c r="O949" s="35"/>
    </row>
    <row r="950" spans="15:15">
      <c r="O950" s="35"/>
    </row>
    <row r="951" spans="15:15">
      <c r="O951" s="35"/>
    </row>
    <row r="952" spans="15:15">
      <c r="O952" s="35"/>
    </row>
    <row r="953" spans="15:15">
      <c r="O953" s="35"/>
    </row>
    <row r="954" spans="15:15">
      <c r="O954" s="35"/>
    </row>
    <row r="955" spans="15:15">
      <c r="O955" s="35"/>
    </row>
    <row r="956" spans="15:15">
      <c r="O956" s="35"/>
    </row>
    <row r="957" spans="15:15">
      <c r="O957" s="35"/>
    </row>
    <row r="958" spans="15:15">
      <c r="O958" s="35"/>
    </row>
    <row r="959" spans="15:15">
      <c r="O959" s="35"/>
    </row>
    <row r="960" spans="15:15">
      <c r="O960" s="35"/>
    </row>
    <row r="961" spans="15:15">
      <c r="O961" s="35"/>
    </row>
    <row r="962" spans="15:15">
      <c r="O962" s="35"/>
    </row>
    <row r="963" spans="15:15">
      <c r="O963" s="35"/>
    </row>
    <row r="964" spans="15:15">
      <c r="O964" s="35"/>
    </row>
    <row r="965" spans="15:15">
      <c r="O965" s="35"/>
    </row>
    <row r="966" spans="15:15">
      <c r="O966" s="35"/>
    </row>
    <row r="967" spans="15:15">
      <c r="O967" s="35"/>
    </row>
    <row r="968" spans="15:15">
      <c r="O968" s="35"/>
    </row>
    <row r="969" spans="15:15">
      <c r="O969" s="35"/>
    </row>
    <row r="970" spans="15:15">
      <c r="O970" s="35"/>
    </row>
    <row r="971" spans="15:15">
      <c r="O971" s="35"/>
    </row>
  </sheetData>
  <phoneticPr fontId="24"/>
  <pageMargins left="0.23622047244094491" right="0.23622047244094491" top="0.39370078740157483" bottom="0.39370078740157483" header="0.31496062992125984" footer="0.31496062992125984"/>
  <pageSetup paperSize="9" scale="75" pageOrder="overThenDown" orientation="landscape" r:id="rId1"/>
  <headerFooter>
    <oddHeader>&amp;L&amp;F&amp;A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X86"/>
  <sheetViews>
    <sheetView zoomScale="80" zoomScaleNormal="80" workbookViewId="0">
      <selection activeCell="P26" sqref="P26"/>
    </sheetView>
  </sheetViews>
  <sheetFormatPr defaultRowHeight="13.5"/>
  <cols>
    <col min="1" max="1" width="2.375" style="11" customWidth="1"/>
    <col min="2" max="2" width="5.625" style="11" customWidth="1"/>
    <col min="3" max="3" width="5.75" style="11" customWidth="1"/>
    <col min="4" max="4" width="15.125" style="11" customWidth="1"/>
    <col min="5" max="5" width="9.625" style="11" customWidth="1"/>
    <col min="6" max="6" width="3.625" style="11" customWidth="1"/>
    <col min="7" max="7" width="9.625" style="11" customWidth="1"/>
    <col min="8" max="8" width="3.625" style="11" customWidth="1"/>
    <col min="9" max="12" width="9.625" style="11" customWidth="1"/>
    <col min="13" max="13" width="8.625" style="11" customWidth="1"/>
    <col min="14" max="14" width="5" style="11" customWidth="1"/>
    <col min="15" max="21" width="9.625" style="9" customWidth="1"/>
    <col min="22" max="25" width="9.625" style="11" customWidth="1"/>
    <col min="26" max="16384" width="9" style="11"/>
  </cols>
  <sheetData>
    <row r="1" spans="2:21" ht="9" customHeight="1"/>
    <row r="2" spans="2:21" s="32" customFormat="1" ht="18.75">
      <c r="B2" s="33" t="str">
        <f>BkTitle1</f>
        <v>SRIMfit_dbg</v>
      </c>
      <c r="F2" s="61" t="str">
        <f>BkTitle2</f>
        <v>AddInマクロ版 : セル内の式 = srFuncName()</v>
      </c>
      <c r="O2" s="342"/>
      <c r="P2" s="342"/>
      <c r="Q2" s="342"/>
      <c r="R2" s="342"/>
      <c r="S2" s="342"/>
      <c r="T2" s="342"/>
      <c r="U2" s="342"/>
    </row>
    <row r="3" spans="2:21" ht="9.75" customHeight="1">
      <c r="M3" s="9"/>
      <c r="N3" s="9"/>
    </row>
    <row r="4" spans="2:21" ht="14.25">
      <c r="B4" s="210" t="s">
        <v>654</v>
      </c>
      <c r="G4" s="62" t="s">
        <v>37</v>
      </c>
      <c r="H4" s="9" t="s">
        <v>279</v>
      </c>
      <c r="K4" s="87" t="s">
        <v>44</v>
      </c>
      <c r="M4" s="9"/>
      <c r="N4" s="9"/>
    </row>
    <row r="5" spans="2:21">
      <c r="B5" s="9"/>
      <c r="C5" s="9" t="s">
        <v>250</v>
      </c>
      <c r="D5" s="9"/>
      <c r="E5" s="9"/>
      <c r="F5" s="9"/>
      <c r="G5" s="364" t="s">
        <v>284</v>
      </c>
      <c r="H5" s="9" t="s">
        <v>280</v>
      </c>
      <c r="I5" s="9"/>
      <c r="J5" s="9"/>
      <c r="K5" s="935" t="s">
        <v>46</v>
      </c>
      <c r="L5" s="936" t="s">
        <v>652</v>
      </c>
      <c r="M5" s="9"/>
      <c r="N5" s="9"/>
      <c r="O5" s="146" t="s">
        <v>616</v>
      </c>
      <c r="P5" s="365"/>
      <c r="S5" s="807" t="s">
        <v>494</v>
      </c>
      <c r="U5" s="9" t="s">
        <v>495</v>
      </c>
    </row>
    <row r="6" spans="2:21">
      <c r="B6" s="9"/>
      <c r="C6" s="9" t="s">
        <v>286</v>
      </c>
      <c r="D6" s="9"/>
      <c r="E6" s="9"/>
      <c r="F6" s="9"/>
      <c r="G6" s="363" t="s">
        <v>679</v>
      </c>
      <c r="H6" s="9" t="s">
        <v>678</v>
      </c>
      <c r="I6" s="9"/>
      <c r="J6" s="9"/>
      <c r="K6" s="178" t="s">
        <v>50</v>
      </c>
      <c r="M6" s="9"/>
      <c r="N6" s="9"/>
      <c r="O6" s="497" t="s">
        <v>499</v>
      </c>
      <c r="P6" s="901">
        <f>E17</f>
        <v>0.5</v>
      </c>
      <c r="R6" s="433" t="s">
        <v>488</v>
      </c>
      <c r="S6" s="853">
        <f>F10</f>
        <v>1</v>
      </c>
      <c r="T6" s="433" t="s">
        <v>306</v>
      </c>
      <c r="U6" s="501">
        <v>1</v>
      </c>
    </row>
    <row r="7" spans="2:21">
      <c r="C7" s="9" t="s">
        <v>287</v>
      </c>
      <c r="D7" s="9"/>
      <c r="E7" s="9"/>
      <c r="F7" s="9"/>
      <c r="G7" s="9"/>
      <c r="H7" s="9"/>
      <c r="I7" s="9"/>
      <c r="J7" s="9"/>
      <c r="K7" s="181" t="s">
        <v>51</v>
      </c>
      <c r="M7" s="9"/>
      <c r="N7" s="9"/>
      <c r="O7" s="173" t="s">
        <v>492</v>
      </c>
      <c r="P7" s="902">
        <f>G17</f>
        <v>5</v>
      </c>
      <c r="R7" s="772" t="s">
        <v>493</v>
      </c>
      <c r="S7" s="859">
        <v>1</v>
      </c>
      <c r="T7" s="772" t="s">
        <v>307</v>
      </c>
      <c r="U7" s="854">
        <v>1</v>
      </c>
    </row>
    <row r="8" spans="2:21">
      <c r="B8" s="9" t="s">
        <v>325</v>
      </c>
      <c r="C8" s="9"/>
      <c r="D8" s="9"/>
      <c r="E8" s="9"/>
      <c r="F8" s="9"/>
      <c r="G8" s="9"/>
      <c r="H8" s="9"/>
      <c r="I8" s="9"/>
      <c r="J8" s="9"/>
      <c r="K8" s="183" t="s">
        <v>54</v>
      </c>
      <c r="M8" s="9"/>
      <c r="N8" s="9"/>
    </row>
    <row r="9" spans="2:21">
      <c r="B9" s="9"/>
      <c r="C9" s="9" t="s">
        <v>326</v>
      </c>
      <c r="D9" s="9"/>
      <c r="E9" s="9"/>
      <c r="F9" s="9"/>
      <c r="G9" s="9"/>
      <c r="H9" s="9"/>
      <c r="I9" s="9"/>
      <c r="J9" s="9"/>
      <c r="K9" s="337" t="s">
        <v>57</v>
      </c>
      <c r="M9" s="9"/>
      <c r="N9" s="9"/>
      <c r="O9" s="497" t="s">
        <v>612</v>
      </c>
      <c r="P9" s="855">
        <f>[1]!srInfoIonA(D17)</f>
        <v>40</v>
      </c>
      <c r="Q9" s="503" t="s">
        <v>613</v>
      </c>
    </row>
    <row r="10" spans="2:21" ht="14.25">
      <c r="B10" s="9"/>
      <c r="C10" s="185"/>
      <c r="D10" s="334" t="s">
        <v>487</v>
      </c>
      <c r="E10" s="940" t="s">
        <v>488</v>
      </c>
      <c r="F10" s="806">
        <v>1</v>
      </c>
      <c r="G10" s="30" t="s">
        <v>489</v>
      </c>
      <c r="I10" s="169"/>
      <c r="J10" s="169"/>
      <c r="K10" s="9"/>
      <c r="L10" s="9"/>
      <c r="O10" s="498" t="s">
        <v>308</v>
      </c>
      <c r="P10" s="920">
        <f>G17*U6</f>
        <v>5</v>
      </c>
      <c r="Q10" s="151" t="s">
        <v>309</v>
      </c>
    </row>
    <row r="11" spans="2:21" ht="14.25" thickBot="1">
      <c r="B11" s="9"/>
      <c r="C11" s="217"/>
      <c r="D11" s="170"/>
      <c r="E11" s="169"/>
      <c r="F11" s="9"/>
      <c r="G11" s="169"/>
      <c r="H11" s="169"/>
      <c r="I11" s="169"/>
      <c r="J11" s="169"/>
      <c r="K11" s="9"/>
      <c r="L11" s="151"/>
      <c r="M11" s="9"/>
      <c r="N11" s="9"/>
      <c r="O11" s="498" t="s">
        <v>500</v>
      </c>
      <c r="P11" s="499">
        <f>[1]!srEnew(D17,E17,P10)</f>
        <v>0</v>
      </c>
      <c r="Q11" s="503" t="s">
        <v>310</v>
      </c>
      <c r="T11" s="363" t="str">
        <f>IF((P11&lt;=0),"Stopped","ok")</f>
        <v>Stopped</v>
      </c>
    </row>
    <row r="12" spans="2:21" s="9" customFormat="1" ht="12">
      <c r="C12" s="598" t="s">
        <v>354</v>
      </c>
      <c r="D12" s="400"/>
      <c r="E12" s="584" t="s">
        <v>352</v>
      </c>
      <c r="F12" s="378"/>
      <c r="G12" s="584"/>
      <c r="H12" s="401"/>
      <c r="I12" s="592" t="s">
        <v>356</v>
      </c>
      <c r="J12" s="402"/>
      <c r="K12" s="907" t="s">
        <v>635</v>
      </c>
      <c r="L12" s="479" t="s">
        <v>634</v>
      </c>
      <c r="O12" s="498" t="s">
        <v>496</v>
      </c>
      <c r="P12" s="526">
        <f>P6-P11</f>
        <v>0.5</v>
      </c>
      <c r="Q12" s="151" t="s">
        <v>501</v>
      </c>
    </row>
    <row r="13" spans="2:21" s="9" customFormat="1" ht="12">
      <c r="C13" s="588">
        <f>[1]!srMaxLETt(D17,2)/1000</f>
        <v>14.079229959999999</v>
      </c>
      <c r="D13" s="589">
        <f>[1]!srMaxLETt2E(D17)</f>
        <v>1.5</v>
      </c>
      <c r="E13" s="593">
        <f>[1]!srRng2E(D17,G17)</f>
        <v>1.1631944444444444</v>
      </c>
      <c r="F13" s="371"/>
      <c r="G13" s="576">
        <f>G17</f>
        <v>5</v>
      </c>
      <c r="H13" s="591" t="s">
        <v>233</v>
      </c>
      <c r="I13" s="118">
        <f>[1]!srEnew(D17,E13,G13)</f>
        <v>0</v>
      </c>
      <c r="J13" s="202">
        <f>I13*F14</f>
        <v>0</v>
      </c>
      <c r="K13" s="373">
        <f>L13/F14</f>
        <v>1.1631944444444444</v>
      </c>
      <c r="L13" s="385">
        <f>(E13-I13)*F14</f>
        <v>46.527777777777779</v>
      </c>
      <c r="O13" s="173" t="s">
        <v>311</v>
      </c>
      <c r="P13" s="809">
        <f>P12*P9</f>
        <v>20</v>
      </c>
      <c r="Q13" s="151" t="s">
        <v>502</v>
      </c>
    </row>
    <row r="14" spans="2:21">
      <c r="B14" s="9"/>
      <c r="C14" s="898" t="s">
        <v>631</v>
      </c>
      <c r="D14" s="897"/>
      <c r="E14" s="171" t="str">
        <f>[1]!srElmNm([1]!srInfoIonZ(D17))&amp;"-"</f>
        <v>Ar-</v>
      </c>
      <c r="F14" s="172">
        <f>[1]!srInfoIonA(D17)</f>
        <v>40</v>
      </c>
      <c r="G14" s="186" t="str">
        <f>[1]!srInfoTrgName(D17)</f>
        <v>Au</v>
      </c>
      <c r="H14" s="187"/>
      <c r="I14" s="362" t="str">
        <f>IF((I17&lt;=0),"Stopped","")</f>
        <v>Stopped</v>
      </c>
      <c r="J14" s="188"/>
      <c r="K14" s="362"/>
      <c r="L14" s="387"/>
      <c r="M14" s="9"/>
      <c r="N14" s="9"/>
    </row>
    <row r="15" spans="2:21">
      <c r="B15" s="9"/>
      <c r="C15" s="388"/>
      <c r="D15" s="360" t="s">
        <v>277</v>
      </c>
      <c r="E15" s="87" t="s">
        <v>42</v>
      </c>
      <c r="F15" s="169"/>
      <c r="G15" s="489" t="s">
        <v>63</v>
      </c>
      <c r="H15" s="169"/>
      <c r="I15" s="190" t="s">
        <v>64</v>
      </c>
      <c r="J15" s="190" t="s">
        <v>65</v>
      </c>
      <c r="K15" s="805" t="s">
        <v>66</v>
      </c>
      <c r="L15" s="404" t="s">
        <v>67</v>
      </c>
      <c r="M15" s="9"/>
      <c r="N15" s="9"/>
      <c r="O15" s="497" t="s">
        <v>614</v>
      </c>
      <c r="P15" s="855">
        <f>[1]!srInfoIonA(D22)</f>
        <v>84</v>
      </c>
      <c r="Q15" s="503" t="s">
        <v>615</v>
      </c>
      <c r="T15" s="363"/>
    </row>
    <row r="16" spans="2:21">
      <c r="B16" s="9"/>
      <c r="C16" s="388"/>
      <c r="D16" s="356">
        <f>E17*F14</f>
        <v>20</v>
      </c>
      <c r="E16" s="87" t="s">
        <v>0</v>
      </c>
      <c r="F16" s="169"/>
      <c r="G16" s="189" t="s">
        <v>45</v>
      </c>
      <c r="H16" s="169"/>
      <c r="I16" s="190" t="s">
        <v>0</v>
      </c>
      <c r="J16" s="190" t="s">
        <v>68</v>
      </c>
      <c r="K16" s="91" t="s">
        <v>0</v>
      </c>
      <c r="L16" s="404" t="s">
        <v>68</v>
      </c>
      <c r="M16" s="9"/>
      <c r="N16" s="9"/>
      <c r="O16" s="498" t="s">
        <v>497</v>
      </c>
      <c r="P16" s="920">
        <f>P7*U7</f>
        <v>5</v>
      </c>
      <c r="Q16" s="151" t="s">
        <v>498</v>
      </c>
      <c r="S16" s="921" t="s">
        <v>640</v>
      </c>
      <c r="T16" s="918"/>
      <c r="U16" s="918"/>
    </row>
    <row r="17" spans="2:24" ht="14.25" thickBot="1">
      <c r="B17" s="9"/>
      <c r="C17" s="579" t="s">
        <v>47</v>
      </c>
      <c r="D17" s="896" t="str">
        <f>'dbg30'!D17</f>
        <v>srim40Ar_Au</v>
      </c>
      <c r="E17" s="931">
        <f>'dbg30'!E17</f>
        <v>0.5</v>
      </c>
      <c r="F17" s="177" t="s">
        <v>49</v>
      </c>
      <c r="G17" s="932">
        <f>'dbg30'!G17</f>
        <v>5</v>
      </c>
      <c r="H17" s="177" t="s">
        <v>49</v>
      </c>
      <c r="I17" s="499">
        <f>[1]!srEnew(D17,E17,G17)</f>
        <v>0</v>
      </c>
      <c r="J17" s="523">
        <f>I17*F14</f>
        <v>0</v>
      </c>
      <c r="K17" s="915">
        <f>E17-I17</f>
        <v>0.5</v>
      </c>
      <c r="L17" s="916">
        <f>K17*F14</f>
        <v>20</v>
      </c>
      <c r="M17" s="9"/>
      <c r="O17" s="912" t="s">
        <v>660</v>
      </c>
      <c r="P17" s="110">
        <f>[1]!srRng2E(D22,P16)</f>
        <v>0.15724206349206349</v>
      </c>
      <c r="Q17" s="503" t="s">
        <v>503</v>
      </c>
    </row>
    <row r="18" spans="2:24" s="70" customFormat="1">
      <c r="B18" s="217"/>
      <c r="C18" s="597" t="s">
        <v>353</v>
      </c>
      <c r="D18" s="868"/>
      <c r="E18" s="908" t="s">
        <v>639</v>
      </c>
      <c r="F18" s="378"/>
      <c r="G18" s="590"/>
      <c r="H18" s="381"/>
      <c r="I18" s="886" t="s">
        <v>355</v>
      </c>
      <c r="J18" s="869"/>
      <c r="K18" s="909" t="s">
        <v>636</v>
      </c>
      <c r="L18" s="910" t="s">
        <v>637</v>
      </c>
      <c r="M18" s="217"/>
      <c r="O18" s="772" t="s">
        <v>661</v>
      </c>
      <c r="P18" s="531">
        <f>K19</f>
        <v>0.15724206349206349</v>
      </c>
      <c r="Q18" s="911" t="s">
        <v>638</v>
      </c>
    </row>
    <row r="19" spans="2:24" s="70" customFormat="1">
      <c r="B19" s="217"/>
      <c r="C19" s="866">
        <f>[1]!srMaxLETt(D22,2)/1000</f>
        <v>9.5161246974000004</v>
      </c>
      <c r="D19" s="885">
        <f>[1]!srMaxLETt2E(D22)</f>
        <v>2.1428571428571428</v>
      </c>
      <c r="E19" s="913">
        <f>[1]!srRng2E(D22,G22)</f>
        <v>0.15724206349206349</v>
      </c>
      <c r="F19" s="371"/>
      <c r="G19" s="576">
        <f>G22</f>
        <v>5</v>
      </c>
      <c r="H19" s="591" t="s">
        <v>233</v>
      </c>
      <c r="I19" s="914">
        <f>[1]!srEnew(D22,E19,G19)</f>
        <v>0</v>
      </c>
      <c r="J19" s="876">
        <f>I19*F20</f>
        <v>0</v>
      </c>
      <c r="K19" s="981">
        <f>L19/F20</f>
        <v>0.15724206349206349</v>
      </c>
      <c r="L19" s="980">
        <f>(E19-I19)*F20</f>
        <v>13.208333333333332</v>
      </c>
      <c r="M19" s="217"/>
      <c r="N19" s="217"/>
      <c r="O19" s="720" t="s">
        <v>617</v>
      </c>
      <c r="P19" s="88"/>
      <c r="Q19" s="9"/>
      <c r="R19" s="860" t="s">
        <v>618</v>
      </c>
      <c r="S19" s="9"/>
      <c r="T19" s="9"/>
      <c r="X19" s="217"/>
    </row>
    <row r="20" spans="2:24">
      <c r="B20" s="9"/>
      <c r="C20" s="386"/>
      <c r="D20" s="361" t="s">
        <v>278</v>
      </c>
      <c r="E20" s="179" t="str">
        <f>[1]!srElmNm([1]!srInfoIonZ(D22))&amp;"-"</f>
        <v>Kr-</v>
      </c>
      <c r="F20" s="180">
        <f>[1]!srInfoIonA(D22)</f>
        <v>84</v>
      </c>
      <c r="G20" s="459" t="str">
        <f>[1]!srInfoTrgName(D22)</f>
        <v>Si</v>
      </c>
      <c r="H20" s="169"/>
      <c r="I20" s="523"/>
      <c r="J20" s="194"/>
      <c r="K20" s="128"/>
      <c r="L20" s="802"/>
      <c r="M20" s="977" t="s">
        <v>676</v>
      </c>
      <c r="N20" s="9"/>
      <c r="O20" s="497" t="s">
        <v>662</v>
      </c>
      <c r="P20" s="106">
        <f>[1]!srdEfpk(D22,O37,P10,-1)</f>
        <v>0.56519274376417217</v>
      </c>
      <c r="Q20" s="503" t="s">
        <v>668</v>
      </c>
      <c r="R20" s="70"/>
      <c r="S20" s="70"/>
      <c r="T20" s="363" t="str">
        <f>IF((P20&lt;=0),"Err21:NoPeak","PkFound")</f>
        <v>PkFound</v>
      </c>
      <c r="U20" s="70"/>
      <c r="X20" s="9"/>
    </row>
    <row r="21" spans="2:24">
      <c r="B21" s="9"/>
      <c r="C21" s="388"/>
      <c r="D21" s="356">
        <f>E22*F20</f>
        <v>574.44160000000238</v>
      </c>
      <c r="E21" s="182" t="s">
        <v>52</v>
      </c>
      <c r="F21" s="169"/>
      <c r="G21" s="199" t="s">
        <v>81</v>
      </c>
      <c r="H21" s="169"/>
      <c r="I21" s="196" t="s">
        <v>490</v>
      </c>
      <c r="J21" s="196" t="s">
        <v>72</v>
      </c>
      <c r="K21" s="200" t="s">
        <v>491</v>
      </c>
      <c r="L21" s="389" t="s">
        <v>90</v>
      </c>
      <c r="M21" s="112" t="s">
        <v>257</v>
      </c>
      <c r="N21" s="9"/>
      <c r="O21" s="440" t="s">
        <v>663</v>
      </c>
      <c r="P21" s="858">
        <f>[1]!srdEfpkE(D22,O37,P10,-1)</f>
        <v>2.6785714285714284</v>
      </c>
      <c r="Q21" s="857" t="s">
        <v>669</v>
      </c>
      <c r="R21" s="217"/>
      <c r="S21" s="70"/>
      <c r="T21" s="70"/>
      <c r="X21" s="9"/>
    </row>
    <row r="22" spans="2:24" ht="15" thickBot="1">
      <c r="B22" s="9"/>
      <c r="C22" s="390" t="s">
        <v>55</v>
      </c>
      <c r="D22" s="899" t="str">
        <f>'dbg30'!D22</f>
        <v>srim84Kr_Si</v>
      </c>
      <c r="E22" s="474">
        <f>[1]!srDEu_eq_Eold(D17,D22,E17,G17,F10)</f>
        <v>6.8385904761905048</v>
      </c>
      <c r="F22" s="393" t="s">
        <v>49</v>
      </c>
      <c r="G22" s="475">
        <f>G17</f>
        <v>5</v>
      </c>
      <c r="H22" s="393" t="s">
        <v>49</v>
      </c>
      <c r="I22" s="407">
        <f>[1]!srEnew(D22,E22,G22)</f>
        <v>6.3398583738257495</v>
      </c>
      <c r="J22" s="396">
        <f>I22*F20</f>
        <v>532.54810340136294</v>
      </c>
      <c r="K22" s="476">
        <f>E22-I22</f>
        <v>0.49873210236475529</v>
      </c>
      <c r="L22" s="804">
        <f>K22*F20</f>
        <v>41.893496598639445</v>
      </c>
      <c r="M22" s="884">
        <f>K22/K17</f>
        <v>0.99746420472951058</v>
      </c>
      <c r="N22" s="9"/>
      <c r="O22" s="498" t="s">
        <v>666</v>
      </c>
      <c r="P22" s="990">
        <f>IF((P20&gt;P17),P20,P17)</f>
        <v>0.56519274376417217</v>
      </c>
      <c r="Q22" s="856" t="s">
        <v>667</v>
      </c>
      <c r="X22" s="9"/>
    </row>
    <row r="23" spans="2:24">
      <c r="B23" s="9"/>
      <c r="C23" s="220"/>
      <c r="D23" s="551"/>
      <c r="E23" s="235"/>
      <c r="F23" s="9"/>
      <c r="G23" s="276"/>
      <c r="H23" s="9"/>
      <c r="I23" s="871" t="s">
        <v>76</v>
      </c>
      <c r="J23" s="872"/>
      <c r="K23" s="527"/>
      <c r="L23" s="217"/>
      <c r="M23" s="217"/>
      <c r="N23" s="9"/>
      <c r="O23" s="173" t="s">
        <v>665</v>
      </c>
      <c r="P23" s="809">
        <f>IF((P20&gt;P17),P21,P17)</f>
        <v>2.6785714285714284</v>
      </c>
      <c r="Q23" s="151" t="s">
        <v>664</v>
      </c>
      <c r="X23" s="9"/>
    </row>
    <row r="24" spans="2:24">
      <c r="B24" s="9"/>
      <c r="C24" s="900" t="s">
        <v>632</v>
      </c>
      <c r="D24" s="937"/>
      <c r="E24" s="354"/>
      <c r="F24" s="354"/>
      <c r="G24" s="978"/>
      <c r="H24" s="9"/>
      <c r="I24" s="9"/>
      <c r="J24" s="9"/>
      <c r="K24" s="9"/>
      <c r="L24" s="9"/>
      <c r="M24" s="9"/>
      <c r="N24" s="9"/>
      <c r="O24" s="720" t="s">
        <v>619</v>
      </c>
      <c r="R24" s="860" t="s">
        <v>620</v>
      </c>
      <c r="X24" s="9"/>
    </row>
    <row r="25" spans="2:24">
      <c r="B25" s="35"/>
      <c r="G25" s="458"/>
      <c r="N25" s="35"/>
      <c r="O25" s="861" t="s">
        <v>621</v>
      </c>
      <c r="P25" s="188">
        <f>P22*P15</f>
        <v>47.47619047619046</v>
      </c>
      <c r="Q25" s="151" t="s">
        <v>622</v>
      </c>
    </row>
    <row r="26" spans="2:24">
      <c r="B26" s="35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5"/>
      <c r="O26" s="862" t="s">
        <v>623</v>
      </c>
      <c r="P26" s="863">
        <f>S7</f>
        <v>1</v>
      </c>
      <c r="T26" s="894" t="str">
        <f>IF((P26=1),"dEu search mode","dEt search mode")</f>
        <v>dEu search mode</v>
      </c>
    </row>
    <row r="27" spans="2:24">
      <c r="B27" s="9"/>
      <c r="C27" s="488"/>
      <c r="D27" s="488"/>
      <c r="E27" s="489"/>
      <c r="F27" s="207"/>
      <c r="G27" s="221"/>
      <c r="H27" s="35"/>
      <c r="I27" s="484"/>
      <c r="J27" s="221"/>
      <c r="K27" s="221"/>
      <c r="L27" s="484"/>
      <c r="M27" s="490"/>
      <c r="O27" s="862" t="s">
        <v>624</v>
      </c>
      <c r="P27" s="156" t="b">
        <f>IF((P22&lt;P12),TRUE,FALSE)</f>
        <v>0</v>
      </c>
      <c r="Q27" s="856" t="s">
        <v>626</v>
      </c>
      <c r="T27" s="894" t="str">
        <f>IF((P27=TRUE),"No Answer","")</f>
        <v/>
      </c>
    </row>
    <row r="28" spans="2:24">
      <c r="B28" s="9"/>
      <c r="C28" s="36"/>
      <c r="D28" s="36"/>
      <c r="E28" s="36"/>
      <c r="F28" s="36"/>
      <c r="G28" s="491"/>
      <c r="H28" s="36"/>
      <c r="I28" s="35"/>
      <c r="J28" s="492"/>
      <c r="K28" s="492"/>
      <c r="L28" s="35"/>
      <c r="M28" s="35"/>
      <c r="O28" s="862" t="s">
        <v>677</v>
      </c>
      <c r="P28" s="156" t="b">
        <f>IF((P22=P12),TRUE,FALSE)</f>
        <v>0</v>
      </c>
      <c r="Q28" s="856" t="s">
        <v>627</v>
      </c>
      <c r="T28" s="894" t="str">
        <f>IF((P28=TRUE),"Only One Answer","")</f>
        <v/>
      </c>
    </row>
    <row r="29" spans="2:24">
      <c r="B29" s="9"/>
      <c r="C29" s="485"/>
      <c r="D29" s="207"/>
      <c r="E29" s="493"/>
      <c r="F29" s="35"/>
      <c r="G29" s="465"/>
      <c r="H29" s="35"/>
      <c r="I29" s="466"/>
      <c r="J29" s="482"/>
      <c r="K29" s="353"/>
      <c r="L29" s="353"/>
      <c r="M29" s="353"/>
      <c r="O29" s="905" t="s">
        <v>625</v>
      </c>
      <c r="P29" s="903">
        <f>P12</f>
        <v>0.5</v>
      </c>
      <c r="Q29" s="904" t="s">
        <v>633</v>
      </c>
      <c r="R29" s="919"/>
      <c r="S29" s="922" t="s">
        <v>641</v>
      </c>
      <c r="T29" s="919"/>
    </row>
    <row r="30" spans="2:24">
      <c r="B30" s="9"/>
      <c r="C30" s="486"/>
      <c r="D30" s="207"/>
      <c r="E30" s="493"/>
      <c r="F30" s="35"/>
      <c r="G30" s="465"/>
      <c r="H30" s="35"/>
      <c r="I30" s="466"/>
      <c r="J30" s="482"/>
      <c r="K30" s="353"/>
      <c r="L30" s="353"/>
      <c r="M30" s="353"/>
      <c r="N30" s="70"/>
      <c r="O30" s="864" t="s">
        <v>672</v>
      </c>
      <c r="P30" s="865">
        <f>[1]!srdE2ixE(D22,P23,P16,P29,S6)</f>
        <v>171</v>
      </c>
      <c r="Q30" s="503" t="s">
        <v>670</v>
      </c>
    </row>
    <row r="31" spans="2:24">
      <c r="B31" s="9"/>
      <c r="C31" s="486"/>
      <c r="D31" s="207"/>
      <c r="E31" s="493"/>
      <c r="F31" s="35"/>
      <c r="G31" s="465"/>
      <c r="H31" s="35"/>
      <c r="I31" s="466"/>
      <c r="J31" s="482"/>
      <c r="K31" s="353"/>
      <c r="L31" s="353"/>
      <c r="M31" s="353"/>
      <c r="N31" s="70"/>
      <c r="O31" s="720" t="s">
        <v>628</v>
      </c>
      <c r="R31" s="860" t="s">
        <v>629</v>
      </c>
    </row>
    <row r="32" spans="2:24">
      <c r="B32" s="9"/>
      <c r="C32" s="486"/>
      <c r="D32" s="207"/>
      <c r="E32" s="493"/>
      <c r="F32" s="35"/>
      <c r="G32" s="465"/>
      <c r="H32" s="35"/>
      <c r="I32" s="466"/>
      <c r="J32" s="482"/>
      <c r="K32" s="353"/>
      <c r="L32" s="353"/>
      <c r="M32" s="353"/>
      <c r="N32" s="70"/>
      <c r="O32" s="861" t="s">
        <v>673</v>
      </c>
      <c r="P32" s="112">
        <f>IF((S6&gt;0),P30+1,P30-1)</f>
        <v>172</v>
      </c>
      <c r="Q32" s="151" t="s">
        <v>644</v>
      </c>
    </row>
    <row r="33" spans="2:24">
      <c r="B33" s="9"/>
      <c r="C33" s="486"/>
      <c r="D33" s="494"/>
      <c r="E33" s="495"/>
      <c r="F33" s="35"/>
      <c r="G33" s="465"/>
      <c r="H33" s="35"/>
      <c r="I33" s="466"/>
      <c r="J33" s="482"/>
      <c r="K33" s="353"/>
      <c r="L33" s="353"/>
      <c r="M33" s="496"/>
      <c r="O33" s="906" t="s">
        <v>630</v>
      </c>
      <c r="P33" s="224">
        <f>[1]!srdEip(D22,P16,P29,P32,P30)</f>
        <v>6.8385904761905048</v>
      </c>
      <c r="Q33" s="503" t="s">
        <v>671</v>
      </c>
    </row>
    <row r="34" spans="2:24">
      <c r="B34" s="35"/>
      <c r="C34" s="486"/>
      <c r="D34" s="207"/>
      <c r="E34" s="493"/>
      <c r="F34" s="35"/>
      <c r="G34" s="465"/>
      <c r="H34" s="35"/>
      <c r="I34" s="466"/>
      <c r="J34" s="482"/>
      <c r="K34" s="353"/>
      <c r="L34" s="353"/>
      <c r="M34" s="353"/>
      <c r="N34" s="35"/>
      <c r="X34" s="9"/>
    </row>
    <row r="35" spans="2:24">
      <c r="B35" s="35"/>
      <c r="C35" s="486"/>
      <c r="D35" s="207"/>
      <c r="E35" s="493"/>
      <c r="F35" s="35"/>
      <c r="G35" s="465"/>
      <c r="H35" s="35"/>
      <c r="I35" s="466"/>
      <c r="J35" s="482"/>
      <c r="K35" s="353"/>
      <c r="L35" s="353"/>
      <c r="M35" s="353"/>
      <c r="N35" s="35"/>
      <c r="O35" s="875" t="s">
        <v>256</v>
      </c>
      <c r="P35" s="875" t="s">
        <v>703</v>
      </c>
      <c r="Q35" s="987" t="s">
        <v>697</v>
      </c>
      <c r="X35" s="9"/>
    </row>
    <row r="36" spans="2:24">
      <c r="B36" s="35"/>
      <c r="C36" s="486"/>
      <c r="D36" s="207"/>
      <c r="E36" s="493"/>
      <c r="F36" s="35"/>
      <c r="G36" s="465"/>
      <c r="H36" s="35"/>
      <c r="I36" s="466"/>
      <c r="J36" s="482"/>
      <c r="K36" s="353"/>
      <c r="L36" s="353"/>
      <c r="M36" s="353"/>
      <c r="N36" s="986" t="s">
        <v>695</v>
      </c>
      <c r="O36" s="985">
        <f>[1]!srMinE(D22)</f>
        <v>1.071427380952381E-5</v>
      </c>
      <c r="P36" s="873">
        <f>P12</f>
        <v>0.5</v>
      </c>
      <c r="X36" s="9"/>
    </row>
    <row r="37" spans="2:24" s="9" customFormat="1">
      <c r="B37" s="35"/>
      <c r="C37" s="486"/>
      <c r="D37" s="207"/>
      <c r="E37" s="493"/>
      <c r="F37" s="207"/>
      <c r="G37" s="465"/>
      <c r="H37" s="207"/>
      <c r="I37" s="466"/>
      <c r="J37" s="482"/>
      <c r="K37" s="353"/>
      <c r="L37" s="353"/>
      <c r="M37" s="353"/>
      <c r="N37" s="986" t="s">
        <v>696</v>
      </c>
      <c r="O37" s="984">
        <f>[1]!srMaxE(D22)</f>
        <v>1000</v>
      </c>
      <c r="P37" s="874">
        <f>P12</f>
        <v>0.5</v>
      </c>
      <c r="T37" s="9" t="s">
        <v>675</v>
      </c>
      <c r="W37" s="11"/>
    </row>
    <row r="38" spans="2:24" s="9" customFormat="1">
      <c r="C38" s="35"/>
      <c r="D38" s="35"/>
      <c r="E38" s="68"/>
      <c r="F38" s="35"/>
      <c r="G38" s="68"/>
      <c r="H38" s="35"/>
      <c r="I38" s="69"/>
      <c r="J38" s="209"/>
      <c r="K38" s="35"/>
      <c r="L38" s="35"/>
      <c r="M38" s="353"/>
      <c r="N38" s="11"/>
      <c r="O38" s="146" t="s">
        <v>313</v>
      </c>
      <c r="T38" s="972">
        <f>P29</f>
        <v>0.5</v>
      </c>
    </row>
    <row r="39" spans="2:24" s="9" customFormat="1">
      <c r="C39" s="485"/>
      <c r="D39" s="207"/>
      <c r="E39" s="493"/>
      <c r="F39" s="35"/>
      <c r="G39" s="465"/>
      <c r="H39" s="35"/>
      <c r="I39" s="466"/>
      <c r="J39" s="482"/>
      <c r="K39" s="353"/>
      <c r="L39" s="353"/>
      <c r="M39" s="353"/>
      <c r="N39" s="11"/>
      <c r="O39" s="803" t="s">
        <v>674</v>
      </c>
      <c r="P39" s="53" t="s">
        <v>256</v>
      </c>
      <c r="Q39" s="54" t="s">
        <v>304</v>
      </c>
      <c r="R39" s="54" t="s">
        <v>316</v>
      </c>
      <c r="S39" s="54" t="s">
        <v>77</v>
      </c>
      <c r="T39" s="54" t="s">
        <v>79</v>
      </c>
      <c r="U39" s="501" t="s">
        <v>74</v>
      </c>
    </row>
    <row r="40" spans="2:24" s="9" customFormat="1" ht="12">
      <c r="C40" s="486"/>
      <c r="D40" s="207"/>
      <c r="E40" s="493"/>
      <c r="F40" s="35"/>
      <c r="G40" s="465"/>
      <c r="H40" s="35"/>
      <c r="I40" s="466"/>
      <c r="J40" s="482"/>
      <c r="K40" s="353"/>
      <c r="L40" s="353"/>
      <c r="M40" s="353"/>
      <c r="N40" s="502"/>
      <c r="O40" s="351">
        <f>P32</f>
        <v>172</v>
      </c>
      <c r="P40" s="368" t="s">
        <v>25</v>
      </c>
      <c r="Q40" s="345" t="s">
        <v>34</v>
      </c>
      <c r="R40" s="345" t="s">
        <v>34</v>
      </c>
      <c r="S40" s="345" t="s">
        <v>0</v>
      </c>
      <c r="T40" s="87" t="s">
        <v>0</v>
      </c>
      <c r="U40" s="196" t="s">
        <v>68</v>
      </c>
    </row>
    <row r="41" spans="2:24" s="9" customFormat="1" ht="12">
      <c r="C41" s="486"/>
      <c r="D41" s="207"/>
      <c r="E41" s="493"/>
      <c r="F41" s="35"/>
      <c r="G41" s="465"/>
      <c r="H41" s="35"/>
      <c r="I41" s="466"/>
      <c r="J41" s="482"/>
      <c r="K41" s="353"/>
      <c r="L41" s="353"/>
      <c r="M41" s="353"/>
      <c r="N41" s="90"/>
      <c r="O41" s="504">
        <f>O40-2</f>
        <v>170</v>
      </c>
      <c r="P41" s="514">
        <f>[1]!srIx2Val(D$22,O41,1)</f>
        <v>5.9523809523809526</v>
      </c>
      <c r="Q41" s="518">
        <f>[1]!srIx2Val(D$22,O41,5)</f>
        <v>60.75</v>
      </c>
      <c r="R41" s="512">
        <f>Q41-P$16</f>
        <v>55.75</v>
      </c>
      <c r="S41" s="139">
        <f>IF(R41&lt;=0,0,[1]!srRng2E(D$22,R41))</f>
        <v>5.4338808694209391</v>
      </c>
      <c r="T41" s="956">
        <f>P41-S41</f>
        <v>0.51850008296001349</v>
      </c>
      <c r="U41" s="960">
        <f>T41*P$15</f>
        <v>43.554006968641133</v>
      </c>
    </row>
    <row r="42" spans="2:24" s="9" customFormat="1">
      <c r="C42" s="486"/>
      <c r="D42" s="207"/>
      <c r="E42" s="493"/>
      <c r="F42" s="35"/>
      <c r="G42" s="465"/>
      <c r="H42" s="35"/>
      <c r="I42" s="466"/>
      <c r="J42" s="482"/>
      <c r="K42" s="353"/>
      <c r="L42" s="353"/>
      <c r="M42" s="353"/>
      <c r="O42" s="505">
        <f>O40-1</f>
        <v>171</v>
      </c>
      <c r="P42" s="515">
        <f>[1]!srIx2Val(D$22,O42,1)</f>
        <v>6.5476190476190474</v>
      </c>
      <c r="Q42" s="519">
        <f>[1]!srIx2Val(D$22,O42,5)</f>
        <v>66.63</v>
      </c>
      <c r="R42" s="509">
        <f>Q42-P$16</f>
        <v>61.629999999999995</v>
      </c>
      <c r="S42" s="143">
        <f>IF(R42&lt;=0,0,[1]!srRng2E(D$22,R42))</f>
        <v>6.0414642047295102</v>
      </c>
      <c r="T42" s="957">
        <f t="shared" ref="T42:T45" si="0">P42-S42</f>
        <v>0.50615484288953727</v>
      </c>
      <c r="U42" s="961">
        <f>T42*P$15</f>
        <v>42.517006802721127</v>
      </c>
      <c r="V42" s="11"/>
      <c r="W42" s="11"/>
    </row>
    <row r="43" spans="2:24" s="9" customFormat="1">
      <c r="C43" s="486"/>
      <c r="D43" s="494"/>
      <c r="E43" s="495"/>
      <c r="F43" s="35"/>
      <c r="G43" s="465"/>
      <c r="H43" s="35"/>
      <c r="I43" s="466"/>
      <c r="J43" s="482"/>
      <c r="K43" s="353"/>
      <c r="L43" s="353"/>
      <c r="M43" s="353"/>
      <c r="O43" s="506">
        <f>O40</f>
        <v>172</v>
      </c>
      <c r="P43" s="516">
        <f>[1]!srIx2Val(D$22,O43,1)</f>
        <v>7.1428571428571432</v>
      </c>
      <c r="Q43" s="520">
        <f>[1]!srIx2Val(D$22,O43,5)</f>
        <v>72.66</v>
      </c>
      <c r="R43" s="510">
        <f>Q43-P$16</f>
        <v>67.66</v>
      </c>
      <c r="S43" s="511">
        <f>IF(R43&lt;=0,0,[1]!srRng2E(D$22,R43))</f>
        <v>6.6492932164573952</v>
      </c>
      <c r="T43" s="958">
        <f t="shared" si="0"/>
        <v>0.493563926399748</v>
      </c>
      <c r="U43" s="962">
        <f>T43*P$15</f>
        <v>41.459369817578832</v>
      </c>
      <c r="V43" s="11"/>
      <c r="W43" s="11"/>
    </row>
    <row r="44" spans="2:24" s="9" customFormat="1">
      <c r="C44" s="486"/>
      <c r="D44" s="207"/>
      <c r="E44" s="493"/>
      <c r="F44" s="35"/>
      <c r="G44" s="465"/>
      <c r="H44" s="35"/>
      <c r="I44" s="466"/>
      <c r="J44" s="482"/>
      <c r="K44" s="353"/>
      <c r="L44" s="353"/>
      <c r="M44" s="353"/>
      <c r="O44" s="507">
        <f>O40+1</f>
        <v>173</v>
      </c>
      <c r="P44" s="515">
        <f>[1]!srIx2Val(D$22,O44,1)</f>
        <v>7.7380952380952381</v>
      </c>
      <c r="Q44" s="519">
        <f>[1]!srIx2Val(D$22,O44,5)</f>
        <v>78.84</v>
      </c>
      <c r="R44" s="509">
        <f>Q44-P$16</f>
        <v>73.84</v>
      </c>
      <c r="S44" s="143">
        <f>IF(R44&lt;=0,0,[1]!srRng2E(D$22,R44))</f>
        <v>7.2565110186469415</v>
      </c>
      <c r="T44" s="957">
        <f t="shared" si="0"/>
        <v>0.48158421944829666</v>
      </c>
      <c r="U44" s="961">
        <f>T44*P$15</f>
        <v>40.453074433656923</v>
      </c>
      <c r="V44" s="11"/>
      <c r="W44" s="11"/>
    </row>
    <row r="45" spans="2:24" s="9" customFormat="1">
      <c r="C45" s="486"/>
      <c r="D45" s="207"/>
      <c r="E45" s="493"/>
      <c r="F45" s="35"/>
      <c r="G45" s="465"/>
      <c r="H45" s="35"/>
      <c r="I45" s="466"/>
      <c r="J45" s="482"/>
      <c r="K45" s="353"/>
      <c r="L45" s="353"/>
      <c r="M45" s="353"/>
      <c r="O45" s="508">
        <f>O40+2</f>
        <v>174</v>
      </c>
      <c r="P45" s="517">
        <f>[1]!srIx2Val(D$22,O45,1)</f>
        <v>8.3333333333333339</v>
      </c>
      <c r="Q45" s="521">
        <f>[1]!srIx2Val(D$22,O45,5)</f>
        <v>85.19</v>
      </c>
      <c r="R45" s="513">
        <f>Q45-P$16</f>
        <v>80.19</v>
      </c>
      <c r="S45" s="355">
        <f>IF(R45&lt;=0,0,[1]!srRng2E(D$22,R45))</f>
        <v>7.8646419197600297</v>
      </c>
      <c r="T45" s="959">
        <f t="shared" si="0"/>
        <v>0.46869141357330424</v>
      </c>
      <c r="U45" s="524">
        <f>T45*P$15</f>
        <v>39.370078740157552</v>
      </c>
      <c r="V45" s="11"/>
      <c r="W45" s="11"/>
    </row>
    <row r="46" spans="2:24" s="9" customFormat="1">
      <c r="C46" s="486"/>
      <c r="D46" s="207"/>
      <c r="E46" s="493"/>
      <c r="F46" s="35"/>
      <c r="G46" s="465"/>
      <c r="H46" s="35"/>
      <c r="I46" s="466"/>
      <c r="J46" s="482"/>
      <c r="K46" s="353"/>
      <c r="L46" s="353"/>
      <c r="M46" s="353"/>
      <c r="O46" s="483" t="s">
        <v>317</v>
      </c>
      <c r="V46" s="11"/>
      <c r="W46" s="11"/>
    </row>
    <row r="47" spans="2:24" s="9" customFormat="1">
      <c r="C47" s="486"/>
      <c r="D47" s="207"/>
      <c r="E47" s="493"/>
      <c r="F47" s="207"/>
      <c r="G47" s="465"/>
      <c r="H47" s="207"/>
      <c r="I47" s="466"/>
      <c r="J47" s="482"/>
      <c r="K47" s="353"/>
      <c r="L47" s="353"/>
      <c r="M47" s="353"/>
      <c r="O47" s="954">
        <f>P32</f>
        <v>172</v>
      </c>
      <c r="P47" s="928">
        <f>[1]!srIx2Val(D$22,O47,1)</f>
        <v>7.1428571428571432</v>
      </c>
      <c r="Q47" s="929">
        <f>[1]!srIx2Val(D$22,O47,5)</f>
        <v>72.66</v>
      </c>
      <c r="R47" s="929">
        <f>Q47-P$16</f>
        <v>67.66</v>
      </c>
      <c r="S47" s="928">
        <f>IF(R47&lt;=0,0,[1]!srRng2E(D$22,R47))</f>
        <v>6.6492932164573952</v>
      </c>
      <c r="T47" s="963">
        <f t="shared" ref="T47:T48" si="1">P47-S47</f>
        <v>0.493563926399748</v>
      </c>
      <c r="U47" s="964">
        <f>T47*P$15</f>
        <v>41.459369817578832</v>
      </c>
      <c r="V47" s="11"/>
      <c r="W47" s="11"/>
    </row>
    <row r="48" spans="2:24" s="9" customFormat="1"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90"/>
      <c r="O48" s="955">
        <f>P30</f>
        <v>171</v>
      </c>
      <c r="P48" s="924">
        <f>[1]!srIx2Val(D$22,O48,1)</f>
        <v>6.5476190476190474</v>
      </c>
      <c r="Q48" s="925">
        <f>[1]!srIx2Val(D$22,O48,5)</f>
        <v>66.63</v>
      </c>
      <c r="R48" s="926">
        <f>Q48-P$16</f>
        <v>61.629999999999995</v>
      </c>
      <c r="S48" s="927">
        <f>IF(R48&lt;=0,0,[1]!srRng2E(D$22,R48))</f>
        <v>6.0414642047295102</v>
      </c>
      <c r="T48" s="965">
        <f t="shared" si="1"/>
        <v>0.50615484288953727</v>
      </c>
      <c r="U48" s="966">
        <f>T48*P$15</f>
        <v>42.517006802721127</v>
      </c>
      <c r="V48" s="11"/>
      <c r="W48" s="11"/>
    </row>
    <row r="49" spans="9:24">
      <c r="N49" s="90"/>
      <c r="Q49" s="527"/>
      <c r="R49" s="217"/>
      <c r="S49" s="217"/>
      <c r="T49" s="217"/>
      <c r="U49" s="217"/>
      <c r="W49" s="217"/>
      <c r="X49" s="9"/>
    </row>
    <row r="50" spans="9:24">
      <c r="N50" s="9"/>
      <c r="O50" s="938" t="s">
        <v>642</v>
      </c>
      <c r="Q50" s="527"/>
      <c r="R50" s="217"/>
      <c r="S50" s="217"/>
      <c r="T50" s="969">
        <f>P29-T47</f>
        <v>6.4360736002520014E-3</v>
      </c>
      <c r="U50" s="217"/>
      <c r="W50" s="9"/>
      <c r="X50" s="9"/>
    </row>
    <row r="51" spans="9:24">
      <c r="N51" s="9"/>
      <c r="O51" s="938" t="s">
        <v>131</v>
      </c>
      <c r="P51" s="139">
        <f>P48-P47</f>
        <v>-0.59523809523809579</v>
      </c>
      <c r="Q51" s="528">
        <f t="shared" ref="Q51:U51" si="2">Q48-Q47</f>
        <v>-6.0300000000000011</v>
      </c>
      <c r="R51" s="529">
        <f t="shared" si="2"/>
        <v>-6.0300000000000011</v>
      </c>
      <c r="S51" s="529">
        <f t="shared" si="2"/>
        <v>-0.60782901172788506</v>
      </c>
      <c r="T51" s="967">
        <f t="shared" si="2"/>
        <v>1.2590916489789272E-2</v>
      </c>
      <c r="U51" s="968">
        <f t="shared" si="2"/>
        <v>1.0576369851422953</v>
      </c>
      <c r="W51" s="9"/>
      <c r="X51" s="9"/>
    </row>
    <row r="52" spans="9:24">
      <c r="N52" s="9"/>
      <c r="O52" s="91" t="s">
        <v>132</v>
      </c>
      <c r="P52" s="350"/>
      <c r="Q52" s="530">
        <f>Q51/P51</f>
        <v>10.130399999999993</v>
      </c>
      <c r="R52" s="530">
        <f>R51/P51</f>
        <v>10.130399999999993</v>
      </c>
      <c r="S52" s="530">
        <f>S51/P51</f>
        <v>1.0211527397028459</v>
      </c>
      <c r="T52" s="530">
        <f>T51/P51</f>
        <v>-2.1152739702845959E-2</v>
      </c>
      <c r="U52" s="953">
        <f>U51/P51</f>
        <v>-1.7768301350390545</v>
      </c>
      <c r="W52" s="9"/>
      <c r="X52" s="9"/>
    </row>
    <row r="53" spans="9:24">
      <c r="N53" s="9"/>
      <c r="O53" s="349" t="s">
        <v>133</v>
      </c>
      <c r="P53" s="477"/>
      <c r="Q53" s="477">
        <f>Q47+Q52*T50</f>
        <v>72.725199999999987</v>
      </c>
      <c r="R53" s="477">
        <f>R47+R52*T50</f>
        <v>67.725199999999987</v>
      </c>
      <c r="S53" s="477">
        <f>S47+S52*T50</f>
        <v>6.6558654306472214</v>
      </c>
      <c r="T53" s="970">
        <f>T47+T52*T50</f>
        <v>0.49342778581017349</v>
      </c>
      <c r="U53" s="971">
        <f>U47+U52*T50</f>
        <v>41.447934008054574</v>
      </c>
      <c r="V53" s="488"/>
      <c r="W53" s="9"/>
      <c r="X53" s="9"/>
    </row>
    <row r="54" spans="9:24">
      <c r="N54" s="9"/>
      <c r="O54" s="923" t="s">
        <v>643</v>
      </c>
      <c r="P54" s="930">
        <f>T50/T52+P47</f>
        <v>6.8385904761905048</v>
      </c>
      <c r="V54" s="488"/>
      <c r="W54" s="9"/>
      <c r="X54" s="9"/>
    </row>
    <row r="55" spans="9:24">
      <c r="V55" s="488"/>
      <c r="W55" s="9"/>
      <c r="X55" s="9"/>
    </row>
    <row r="56" spans="9:24">
      <c r="I56" s="840" t="s">
        <v>680</v>
      </c>
      <c r="J56" s="841"/>
      <c r="K56" s="842" t="s">
        <v>573</v>
      </c>
      <c r="L56" s="842" t="s">
        <v>574</v>
      </c>
      <c r="M56" s="111"/>
      <c r="N56" s="112"/>
      <c r="Q56" s="11"/>
      <c r="V56" s="917"/>
      <c r="W56" s="9"/>
      <c r="X56" s="9"/>
    </row>
    <row r="57" spans="9:24">
      <c r="I57" s="843" t="s">
        <v>566</v>
      </c>
      <c r="J57" s="844" t="s">
        <v>564</v>
      </c>
      <c r="K57" s="844" t="s">
        <v>565</v>
      </c>
      <c r="L57" s="844" t="s">
        <v>572</v>
      </c>
      <c r="M57" s="979" t="s">
        <v>579</v>
      </c>
      <c r="N57" s="357"/>
      <c r="Q57" s="11"/>
      <c r="V57" s="679"/>
      <c r="W57" s="9"/>
      <c r="X57" s="9"/>
    </row>
    <row r="58" spans="9:24">
      <c r="I58" s="138" t="s">
        <v>569</v>
      </c>
      <c r="J58" s="138" t="s">
        <v>568</v>
      </c>
      <c r="K58" s="850" t="s">
        <v>530</v>
      </c>
      <c r="L58" s="950" t="s">
        <v>571</v>
      </c>
      <c r="M58" s="9"/>
      <c r="N58" s="9"/>
      <c r="Q58" s="11"/>
      <c r="V58" s="679"/>
      <c r="W58" s="9"/>
    </row>
    <row r="59" spans="9:24">
      <c r="I59" s="138" t="s">
        <v>568</v>
      </c>
      <c r="J59" s="950" t="s">
        <v>658</v>
      </c>
      <c r="K59" s="850" t="s">
        <v>530</v>
      </c>
      <c r="L59" s="950" t="s">
        <v>571</v>
      </c>
      <c r="M59" s="9" t="s">
        <v>659</v>
      </c>
      <c r="N59" s="9"/>
      <c r="Q59" s="11"/>
      <c r="V59" s="679"/>
      <c r="W59" s="9"/>
    </row>
    <row r="60" spans="9:24">
      <c r="I60" s="950" t="s">
        <v>567</v>
      </c>
      <c r="J60" s="138" t="s">
        <v>568</v>
      </c>
      <c r="K60" s="850" t="s">
        <v>535</v>
      </c>
      <c r="L60" s="850" t="s">
        <v>575</v>
      </c>
      <c r="M60" s="9"/>
      <c r="N60" s="9"/>
      <c r="Q60" s="11"/>
      <c r="V60" s="679"/>
      <c r="W60" s="9"/>
    </row>
    <row r="61" spans="9:24">
      <c r="I61" s="950" t="s">
        <v>571</v>
      </c>
      <c r="J61" s="950" t="s">
        <v>571</v>
      </c>
      <c r="K61" s="850" t="s">
        <v>535</v>
      </c>
      <c r="L61" s="850" t="s">
        <v>592</v>
      </c>
      <c r="M61" s="9" t="s">
        <v>593</v>
      </c>
      <c r="N61" s="217"/>
      <c r="O61" s="217"/>
      <c r="P61" s="365" t="s">
        <v>594</v>
      </c>
      <c r="W61" s="9"/>
    </row>
    <row r="62" spans="9:24">
      <c r="I62" s="950" t="s">
        <v>571</v>
      </c>
      <c r="J62" s="950" t="s">
        <v>571</v>
      </c>
      <c r="K62" s="850" t="s">
        <v>535</v>
      </c>
      <c r="L62" s="850" t="s">
        <v>681</v>
      </c>
      <c r="M62" s="9" t="s">
        <v>682</v>
      </c>
      <c r="N62" s="217"/>
      <c r="O62" s="217"/>
      <c r="P62" s="365" t="s">
        <v>683</v>
      </c>
      <c r="W62" s="9"/>
    </row>
    <row r="63" spans="9:24">
      <c r="I63" s="950" t="s">
        <v>571</v>
      </c>
      <c r="J63" s="950" t="s">
        <v>571</v>
      </c>
      <c r="K63" s="850" t="s">
        <v>535</v>
      </c>
      <c r="L63" s="850" t="s">
        <v>684</v>
      </c>
      <c r="M63" s="9" t="s">
        <v>685</v>
      </c>
      <c r="N63" s="217"/>
      <c r="O63" s="217"/>
      <c r="P63" s="365" t="s">
        <v>686</v>
      </c>
      <c r="W63" s="9"/>
    </row>
    <row r="64" spans="9:24">
      <c r="I64" s="950" t="s">
        <v>571</v>
      </c>
      <c r="J64" s="950" t="s">
        <v>571</v>
      </c>
      <c r="K64" s="850" t="s">
        <v>535</v>
      </c>
      <c r="L64" s="850" t="s">
        <v>688</v>
      </c>
      <c r="M64" s="9" t="s">
        <v>687</v>
      </c>
      <c r="N64" s="217"/>
      <c r="O64" s="217"/>
      <c r="P64" s="365" t="s">
        <v>689</v>
      </c>
      <c r="W64" s="9"/>
    </row>
    <row r="65" spans="9:24">
      <c r="I65" s="950" t="s">
        <v>571</v>
      </c>
      <c r="J65" s="950" t="s">
        <v>571</v>
      </c>
      <c r="K65" s="850" t="s">
        <v>535</v>
      </c>
      <c r="L65" s="850" t="s">
        <v>690</v>
      </c>
      <c r="M65" s="9" t="s">
        <v>691</v>
      </c>
      <c r="N65" s="217"/>
      <c r="O65" s="217"/>
      <c r="P65" s="365" t="s">
        <v>692</v>
      </c>
      <c r="W65" s="9"/>
    </row>
    <row r="66" spans="9:24">
      <c r="I66" s="532"/>
      <c r="J66" s="532"/>
      <c r="K66" s="217"/>
      <c r="L66" s="217"/>
      <c r="M66" s="9"/>
      <c r="N66" s="9"/>
      <c r="Q66" s="11"/>
      <c r="W66" s="9"/>
    </row>
    <row r="67" spans="9:24">
      <c r="I67" s="845" t="s">
        <v>582</v>
      </c>
      <c r="J67" s="539"/>
      <c r="K67" s="540"/>
      <c r="L67" s="541"/>
      <c r="O67" s="11"/>
      <c r="P67" s="11"/>
      <c r="Q67" s="11"/>
      <c r="W67" s="9"/>
    </row>
    <row r="68" spans="9:24">
      <c r="I68" s="951" t="s">
        <v>320</v>
      </c>
      <c r="J68" s="847"/>
      <c r="K68" s="543" t="s">
        <v>42</v>
      </c>
      <c r="L68" s="544" t="s">
        <v>319</v>
      </c>
      <c r="O68" s="11"/>
      <c r="P68" s="11"/>
      <c r="Q68" s="11"/>
      <c r="R68" s="35"/>
      <c r="S68" s="35"/>
      <c r="T68" s="352"/>
      <c r="U68" s="217"/>
      <c r="W68" s="9"/>
    </row>
    <row r="69" spans="9:24">
      <c r="I69" s="550" t="s">
        <v>693</v>
      </c>
      <c r="J69" s="846"/>
      <c r="K69" s="535"/>
      <c r="L69" s="535"/>
      <c r="O69" s="11"/>
      <c r="P69" s="11"/>
      <c r="Q69" s="11"/>
      <c r="R69" s="348"/>
      <c r="S69" s="35"/>
      <c r="T69" s="490"/>
      <c r="U69" s="217"/>
      <c r="W69" s="9"/>
    </row>
    <row r="70" spans="9:24">
      <c r="I70" s="673" t="s">
        <v>694</v>
      </c>
      <c r="J70" s="846"/>
      <c r="K70" s="535">
        <v>1.6</v>
      </c>
      <c r="L70" s="535">
        <v>5</v>
      </c>
      <c r="O70" s="11"/>
      <c r="P70" s="11"/>
      <c r="Q70" s="11"/>
      <c r="R70" s="217"/>
      <c r="S70" s="217"/>
      <c r="T70" s="527"/>
      <c r="U70" s="217"/>
      <c r="W70" s="9"/>
    </row>
    <row r="71" spans="9:24">
      <c r="O71" s="11"/>
      <c r="P71" s="11"/>
      <c r="Q71" s="11"/>
      <c r="W71" s="9"/>
    </row>
    <row r="72" spans="9:24">
      <c r="O72" s="11"/>
      <c r="P72" s="11"/>
      <c r="Q72" s="11"/>
      <c r="W72" s="9"/>
    </row>
    <row r="73" spans="9:24">
      <c r="W73" s="9"/>
    </row>
    <row r="74" spans="9:24">
      <c r="W74" s="9"/>
    </row>
    <row r="75" spans="9:24">
      <c r="W75" s="9"/>
    </row>
    <row r="76" spans="9:24">
      <c r="W76" s="9"/>
    </row>
    <row r="77" spans="9:24">
      <c r="W77" s="9"/>
    </row>
    <row r="78" spans="9:24">
      <c r="O78" s="35"/>
      <c r="P78" s="35"/>
      <c r="Q78" s="35"/>
      <c r="R78" s="35"/>
      <c r="S78" s="35"/>
      <c r="T78" s="35"/>
      <c r="U78" s="35"/>
      <c r="V78" s="36"/>
      <c r="W78" s="35"/>
      <c r="X78" s="36"/>
    </row>
    <row r="79" spans="9:24">
      <c r="O79" s="35"/>
      <c r="P79" s="35"/>
      <c r="Q79" s="35"/>
      <c r="R79" s="35"/>
      <c r="S79" s="35"/>
      <c r="T79" s="35"/>
      <c r="U79" s="35"/>
      <c r="V79" s="36"/>
      <c r="W79" s="35"/>
      <c r="X79" s="36"/>
    </row>
    <row r="80" spans="9:24">
      <c r="O80" s="35"/>
      <c r="P80" s="35"/>
      <c r="Q80" s="35"/>
      <c r="R80" s="35"/>
      <c r="S80" s="35"/>
      <c r="T80" s="35"/>
      <c r="U80" s="35"/>
      <c r="V80" s="36"/>
      <c r="W80" s="35"/>
      <c r="X80" s="36"/>
    </row>
    <row r="81" spans="15:24">
      <c r="O81" s="35"/>
      <c r="P81" s="35"/>
      <c r="Q81" s="35"/>
      <c r="R81" s="35"/>
      <c r="S81" s="35"/>
      <c r="T81" s="35"/>
      <c r="U81" s="35"/>
      <c r="V81" s="36"/>
      <c r="W81" s="36"/>
      <c r="X81" s="36"/>
    </row>
    <row r="82" spans="15:24">
      <c r="O82" s="35"/>
      <c r="P82" s="35"/>
      <c r="Q82" s="488"/>
      <c r="R82" s="947"/>
      <c r="S82" s="35"/>
      <c r="T82" s="947"/>
      <c r="U82" s="41"/>
      <c r="V82" s="490"/>
      <c r="W82" s="36"/>
      <c r="X82" s="36"/>
    </row>
    <row r="83" spans="15:24">
      <c r="O83" s="35"/>
      <c r="P83" s="35"/>
      <c r="Q83" s="946"/>
      <c r="R83" s="948"/>
      <c r="S83" s="948"/>
      <c r="T83" s="466"/>
      <c r="U83" s="949"/>
      <c r="V83" s="490"/>
      <c r="W83" s="36"/>
      <c r="X83" s="36"/>
    </row>
    <row r="84" spans="15:24">
      <c r="O84" s="35"/>
      <c r="P84" s="35"/>
      <c r="Q84" s="35"/>
      <c r="R84" s="35"/>
      <c r="S84" s="35"/>
      <c r="T84" s="35"/>
      <c r="U84" s="490"/>
      <c r="V84" s="35"/>
      <c r="W84" s="36"/>
      <c r="X84" s="36"/>
    </row>
    <row r="85" spans="15:24">
      <c r="O85" s="35"/>
      <c r="P85" s="35"/>
      <c r="Q85" s="35"/>
      <c r="R85" s="35"/>
      <c r="S85" s="35"/>
      <c r="T85" s="35"/>
      <c r="U85" s="35"/>
      <c r="V85" s="36"/>
      <c r="W85" s="36"/>
      <c r="X85" s="36"/>
    </row>
    <row r="86" spans="15:24">
      <c r="O86" s="35"/>
      <c r="P86" s="35"/>
      <c r="Q86" s="35"/>
      <c r="R86" s="35"/>
      <c r="S86" s="35"/>
      <c r="T86" s="35"/>
      <c r="U86" s="35"/>
      <c r="V86" s="36"/>
      <c r="W86" s="36"/>
      <c r="X86" s="36"/>
    </row>
  </sheetData>
  <phoneticPr fontId="24"/>
  <pageMargins left="0.23622047244094491" right="0.23622047244094491" top="0.39370078740157483" bottom="0.39370078740157483" header="0.31496062992125984" footer="0.31496062992125984"/>
  <pageSetup paperSize="9" scale="80" pageOrder="overThenDown" orientation="landscape" r:id="rId1"/>
  <headerFooter>
    <oddHeader>&amp;L&amp;F&amp;A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X86"/>
  <sheetViews>
    <sheetView zoomScale="80" zoomScaleNormal="80" workbookViewId="0">
      <selection activeCell="K52" sqref="K52"/>
    </sheetView>
  </sheetViews>
  <sheetFormatPr defaultRowHeight="13.5"/>
  <cols>
    <col min="1" max="1" width="2.375" style="11" customWidth="1"/>
    <col min="2" max="2" width="5.625" style="11" customWidth="1"/>
    <col min="3" max="3" width="5.75" style="11" customWidth="1"/>
    <col min="4" max="4" width="15.125" style="11" customWidth="1"/>
    <col min="5" max="5" width="9.625" style="11" customWidth="1"/>
    <col min="6" max="6" width="3.625" style="11" customWidth="1"/>
    <col min="7" max="7" width="9.625" style="11" customWidth="1"/>
    <col min="8" max="8" width="3.625" style="11" customWidth="1"/>
    <col min="9" max="12" width="9.625" style="11" customWidth="1"/>
    <col min="13" max="13" width="8.625" style="11" customWidth="1"/>
    <col min="14" max="14" width="5" style="11" customWidth="1"/>
    <col min="15" max="21" width="9.625" style="9" customWidth="1"/>
    <col min="22" max="25" width="9.625" style="11" customWidth="1"/>
    <col min="26" max="16384" width="9" style="11"/>
  </cols>
  <sheetData>
    <row r="1" spans="2:21" ht="9" customHeight="1"/>
    <row r="2" spans="2:21" s="32" customFormat="1" ht="18.75">
      <c r="B2" s="33" t="str">
        <f>BkTitle1</f>
        <v>SRIMfit_dbg</v>
      </c>
      <c r="F2" s="61" t="str">
        <f>BkTitle2</f>
        <v>AddInマクロ版 : セル内の式 = srFuncName()</v>
      </c>
      <c r="O2" s="342"/>
      <c r="P2" s="342"/>
      <c r="Q2" s="342"/>
      <c r="R2" s="342"/>
      <c r="S2" s="342"/>
      <c r="T2" s="342"/>
      <c r="U2" s="342"/>
    </row>
    <row r="3" spans="2:21" ht="9.75" customHeight="1">
      <c r="M3" s="9"/>
      <c r="N3" s="9"/>
    </row>
    <row r="4" spans="2:21" ht="14.25">
      <c r="B4" s="210" t="s">
        <v>655</v>
      </c>
      <c r="G4" s="62" t="s">
        <v>37</v>
      </c>
      <c r="H4" s="9" t="s">
        <v>279</v>
      </c>
      <c r="K4" s="87" t="s">
        <v>44</v>
      </c>
      <c r="M4" s="9"/>
      <c r="N4" s="9"/>
    </row>
    <row r="5" spans="2:21">
      <c r="B5" s="9"/>
      <c r="C5" s="9" t="s">
        <v>250</v>
      </c>
      <c r="D5" s="9"/>
      <c r="E5" s="9"/>
      <c r="F5" s="9"/>
      <c r="G5" s="364" t="s">
        <v>284</v>
      </c>
      <c r="H5" s="9" t="s">
        <v>280</v>
      </c>
      <c r="I5" s="9"/>
      <c r="J5" s="9"/>
      <c r="K5" s="935" t="s">
        <v>46</v>
      </c>
      <c r="L5" s="936" t="s">
        <v>652</v>
      </c>
      <c r="M5" s="9"/>
      <c r="N5" s="9"/>
      <c r="O5" s="146" t="s">
        <v>616</v>
      </c>
      <c r="P5" s="365"/>
      <c r="S5" s="807" t="s">
        <v>494</v>
      </c>
      <c r="U5" s="9" t="s">
        <v>495</v>
      </c>
    </row>
    <row r="6" spans="2:21">
      <c r="B6" s="9"/>
      <c r="C6" s="9" t="s">
        <v>286</v>
      </c>
      <c r="D6" s="9"/>
      <c r="E6" s="9"/>
      <c r="F6" s="9"/>
      <c r="G6" s="363" t="s">
        <v>679</v>
      </c>
      <c r="H6" s="9" t="s">
        <v>678</v>
      </c>
      <c r="I6" s="9"/>
      <c r="J6" s="9"/>
      <c r="K6" s="178" t="s">
        <v>50</v>
      </c>
      <c r="M6" s="9"/>
      <c r="N6" s="9"/>
      <c r="O6" s="497" t="s">
        <v>499</v>
      </c>
      <c r="P6" s="901">
        <f>E17</f>
        <v>0.5</v>
      </c>
      <c r="R6" s="433" t="s">
        <v>488</v>
      </c>
      <c r="S6" s="853">
        <f>F10</f>
        <v>-1</v>
      </c>
      <c r="T6" s="433" t="s">
        <v>306</v>
      </c>
      <c r="U6" s="501">
        <v>1</v>
      </c>
    </row>
    <row r="7" spans="2:21">
      <c r="C7" s="9" t="s">
        <v>287</v>
      </c>
      <c r="D7" s="9"/>
      <c r="E7" s="9"/>
      <c r="F7" s="9"/>
      <c r="G7" s="9"/>
      <c r="H7" s="9"/>
      <c r="I7" s="9"/>
      <c r="J7" s="9"/>
      <c r="K7" s="181" t="s">
        <v>51</v>
      </c>
      <c r="M7" s="9"/>
      <c r="N7" s="9"/>
      <c r="O7" s="173" t="s">
        <v>308</v>
      </c>
      <c r="P7" s="902">
        <f>G17</f>
        <v>5</v>
      </c>
      <c r="R7" s="772" t="s">
        <v>493</v>
      </c>
      <c r="S7" s="859">
        <v>-1</v>
      </c>
      <c r="T7" s="772" t="s">
        <v>307</v>
      </c>
      <c r="U7" s="854">
        <v>1</v>
      </c>
    </row>
    <row r="8" spans="2:21">
      <c r="B8" s="9" t="s">
        <v>325</v>
      </c>
      <c r="C8" s="9"/>
      <c r="D8" s="9"/>
      <c r="E8" s="9"/>
      <c r="F8" s="9"/>
      <c r="G8" s="9"/>
      <c r="H8" s="9"/>
      <c r="I8" s="9"/>
      <c r="J8" s="9"/>
      <c r="K8" s="183" t="s">
        <v>54</v>
      </c>
      <c r="M8" s="9"/>
      <c r="N8" s="9"/>
    </row>
    <row r="9" spans="2:21">
      <c r="B9" s="9"/>
      <c r="C9" s="9" t="s">
        <v>326</v>
      </c>
      <c r="D9" s="9"/>
      <c r="E9" s="9"/>
      <c r="F9" s="9"/>
      <c r="G9" s="9"/>
      <c r="H9" s="9"/>
      <c r="I9" s="9"/>
      <c r="J9" s="9"/>
      <c r="K9" s="337" t="s">
        <v>57</v>
      </c>
      <c r="M9" s="9"/>
      <c r="N9" s="9"/>
      <c r="O9" s="497" t="s">
        <v>612</v>
      </c>
      <c r="P9" s="855">
        <f>[1]!srInfoIonA(D17)</f>
        <v>40</v>
      </c>
      <c r="Q9" s="503" t="s">
        <v>613</v>
      </c>
    </row>
    <row r="10" spans="2:21" ht="14.25">
      <c r="B10" s="9"/>
      <c r="C10" s="185"/>
      <c r="D10" s="334" t="s">
        <v>699</v>
      </c>
      <c r="E10" s="940" t="s">
        <v>488</v>
      </c>
      <c r="F10" s="806">
        <v>-1</v>
      </c>
      <c r="G10" s="30" t="s">
        <v>489</v>
      </c>
      <c r="I10" s="169"/>
      <c r="J10" s="169"/>
      <c r="K10" s="9"/>
      <c r="L10" s="9"/>
      <c r="O10" s="498" t="s">
        <v>308</v>
      </c>
      <c r="P10" s="920">
        <f>G17*U6</f>
        <v>5</v>
      </c>
      <c r="Q10" s="151" t="s">
        <v>309</v>
      </c>
    </row>
    <row r="11" spans="2:21" ht="14.25" thickBot="1">
      <c r="B11" s="9"/>
      <c r="C11" s="217"/>
      <c r="D11" s="170"/>
      <c r="E11" s="169"/>
      <c r="F11" s="9"/>
      <c r="G11" s="169"/>
      <c r="H11" s="169"/>
      <c r="I11" s="169"/>
      <c r="J11" s="169"/>
      <c r="K11" s="9"/>
      <c r="L11" s="151"/>
      <c r="M11" s="9"/>
      <c r="N11" s="9"/>
      <c r="O11" s="498" t="s">
        <v>500</v>
      </c>
      <c r="P11" s="499">
        <f>[1]!srEnew(D17,E17,P10)</f>
        <v>0</v>
      </c>
      <c r="Q11" s="503" t="s">
        <v>310</v>
      </c>
      <c r="T11" s="363" t="str">
        <f>IF((P11&lt;=0),"Stopped","ok")</f>
        <v>Stopped</v>
      </c>
    </row>
    <row r="12" spans="2:21" s="9" customFormat="1" ht="12">
      <c r="C12" s="598" t="s">
        <v>354</v>
      </c>
      <c r="D12" s="400"/>
      <c r="E12" s="584" t="s">
        <v>352</v>
      </c>
      <c r="F12" s="378"/>
      <c r="G12" s="584"/>
      <c r="H12" s="401"/>
      <c r="I12" s="592" t="s">
        <v>356</v>
      </c>
      <c r="J12" s="402"/>
      <c r="K12" s="907" t="s">
        <v>635</v>
      </c>
      <c r="L12" s="479" t="s">
        <v>634</v>
      </c>
      <c r="O12" s="498" t="s">
        <v>496</v>
      </c>
      <c r="P12" s="808">
        <f>P6-P11</f>
        <v>0.5</v>
      </c>
      <c r="Q12" s="151" t="s">
        <v>501</v>
      </c>
    </row>
    <row r="13" spans="2:21" s="9" customFormat="1" ht="12">
      <c r="C13" s="588">
        <f>[1]!srMaxLETt(D17,2)/1000</f>
        <v>14.079229959999999</v>
      </c>
      <c r="D13" s="589">
        <f>[1]!srMaxLETt2E(D17)</f>
        <v>1.5</v>
      </c>
      <c r="E13" s="593">
        <f>[1]!srRng2E(D17,G17)</f>
        <v>1.1631944444444444</v>
      </c>
      <c r="F13" s="371"/>
      <c r="G13" s="576">
        <f>G17</f>
        <v>5</v>
      </c>
      <c r="H13" s="591" t="s">
        <v>233</v>
      </c>
      <c r="I13" s="118">
        <f>[1]!srEnew(D17,E13,G13)</f>
        <v>0</v>
      </c>
      <c r="J13" s="202">
        <f>I13*F14</f>
        <v>0</v>
      </c>
      <c r="K13" s="373">
        <f>L13/F14</f>
        <v>1.1631944444444444</v>
      </c>
      <c r="L13" s="385">
        <f>(E13-I13)*F14</f>
        <v>46.527777777777779</v>
      </c>
      <c r="O13" s="173" t="s">
        <v>311</v>
      </c>
      <c r="P13" s="944">
        <f>P12*P9</f>
        <v>20</v>
      </c>
      <c r="Q13" s="151" t="s">
        <v>502</v>
      </c>
    </row>
    <row r="14" spans="2:21">
      <c r="B14" s="9"/>
      <c r="C14" s="898" t="s">
        <v>631</v>
      </c>
      <c r="D14" s="897"/>
      <c r="E14" s="171" t="str">
        <f>[1]!srElmNm([1]!srInfoIonZ(D17))&amp;"-"</f>
        <v>Ar-</v>
      </c>
      <c r="F14" s="172">
        <f>[1]!srInfoIonA(D17)</f>
        <v>40</v>
      </c>
      <c r="G14" s="186" t="str">
        <f>[1]!srInfoTrgName(D17)</f>
        <v>Au</v>
      </c>
      <c r="H14" s="187"/>
      <c r="I14" s="362" t="str">
        <f>IF((I17&lt;=0),"Stopped","")</f>
        <v>Stopped</v>
      </c>
      <c r="J14" s="188"/>
      <c r="K14" s="362"/>
      <c r="L14" s="387"/>
      <c r="M14" s="9"/>
      <c r="N14" s="9"/>
    </row>
    <row r="15" spans="2:21">
      <c r="B15" s="9"/>
      <c r="C15" s="388"/>
      <c r="D15" s="360" t="s">
        <v>277</v>
      </c>
      <c r="E15" s="87" t="s">
        <v>42</v>
      </c>
      <c r="F15" s="169"/>
      <c r="G15" s="489" t="s">
        <v>63</v>
      </c>
      <c r="H15" s="169"/>
      <c r="I15" s="190" t="s">
        <v>64</v>
      </c>
      <c r="J15" s="190" t="s">
        <v>65</v>
      </c>
      <c r="K15" s="197" t="s">
        <v>66</v>
      </c>
      <c r="L15" s="941" t="s">
        <v>67</v>
      </c>
      <c r="M15" s="9"/>
      <c r="N15" s="9"/>
      <c r="O15" s="497" t="s">
        <v>614</v>
      </c>
      <c r="P15" s="855">
        <f>[1]!srInfoIonA(D22)</f>
        <v>84</v>
      </c>
      <c r="Q15" s="503" t="s">
        <v>615</v>
      </c>
      <c r="T15" s="363"/>
    </row>
    <row r="16" spans="2:21">
      <c r="B16" s="9"/>
      <c r="C16" s="388"/>
      <c r="D16" s="356">
        <f>E17*F14</f>
        <v>20</v>
      </c>
      <c r="E16" s="87" t="s">
        <v>0</v>
      </c>
      <c r="F16" s="169"/>
      <c r="G16" s="189" t="s">
        <v>45</v>
      </c>
      <c r="H16" s="169"/>
      <c r="I16" s="190" t="s">
        <v>0</v>
      </c>
      <c r="J16" s="190" t="s">
        <v>68</v>
      </c>
      <c r="K16" s="197" t="s">
        <v>0</v>
      </c>
      <c r="L16" s="404" t="s">
        <v>68</v>
      </c>
      <c r="M16" s="9"/>
      <c r="N16" s="9"/>
      <c r="O16" s="498" t="s">
        <v>497</v>
      </c>
      <c r="P16" s="920">
        <f>P7*U7</f>
        <v>5</v>
      </c>
      <c r="Q16" s="151" t="s">
        <v>498</v>
      </c>
      <c r="S16" s="921" t="s">
        <v>640</v>
      </c>
      <c r="T16" s="918"/>
      <c r="U16" s="918"/>
    </row>
    <row r="17" spans="2:24" ht="14.25" thickBot="1">
      <c r="B17" s="9"/>
      <c r="C17" s="579" t="s">
        <v>47</v>
      </c>
      <c r="D17" s="896" t="str">
        <f>'dbg30'!D17</f>
        <v>srim40Ar_Au</v>
      </c>
      <c r="E17" s="931">
        <f>'dbg30'!E17</f>
        <v>0.5</v>
      </c>
      <c r="F17" s="177" t="s">
        <v>49</v>
      </c>
      <c r="G17" s="932">
        <f>'dbg30'!G17</f>
        <v>5</v>
      </c>
      <c r="H17" s="177" t="s">
        <v>49</v>
      </c>
      <c r="I17" s="499">
        <f>[1]!srEnew(D17,E17,G17)</f>
        <v>0</v>
      </c>
      <c r="J17" s="523">
        <f>I17*F14</f>
        <v>0</v>
      </c>
      <c r="K17" s="943">
        <f>E17-I17</f>
        <v>0.5</v>
      </c>
      <c r="L17" s="942">
        <f>K17*F14</f>
        <v>20</v>
      </c>
      <c r="M17" s="9"/>
      <c r="O17" s="912" t="s">
        <v>660</v>
      </c>
      <c r="P17" s="110">
        <f>[1]!srRng2E(D22,P16)</f>
        <v>0.15724206349206349</v>
      </c>
      <c r="Q17" s="503" t="s">
        <v>503</v>
      </c>
    </row>
    <row r="18" spans="2:24" s="70" customFormat="1">
      <c r="B18" s="217"/>
      <c r="C18" s="597" t="s">
        <v>353</v>
      </c>
      <c r="D18" s="868"/>
      <c r="E18" s="908" t="s">
        <v>639</v>
      </c>
      <c r="F18" s="378"/>
      <c r="G18" s="590"/>
      <c r="H18" s="381"/>
      <c r="I18" s="886" t="s">
        <v>355</v>
      </c>
      <c r="J18" s="869"/>
      <c r="K18" s="909" t="s">
        <v>636</v>
      </c>
      <c r="L18" s="910" t="s">
        <v>637</v>
      </c>
      <c r="M18" s="217"/>
      <c r="O18" s="772" t="s">
        <v>705</v>
      </c>
      <c r="P18" s="531">
        <f>L19</f>
        <v>13.208333333333332</v>
      </c>
      <c r="Q18" s="911" t="s">
        <v>704</v>
      </c>
    </row>
    <row r="19" spans="2:24" s="70" customFormat="1">
      <c r="B19" s="217"/>
      <c r="C19" s="866">
        <f>[1]!srMaxLETt(D22,2)/1000</f>
        <v>9.5161246974000004</v>
      </c>
      <c r="D19" s="885">
        <f>[1]!srMaxLETt2E(D22)</f>
        <v>2.1428571428571428</v>
      </c>
      <c r="E19" s="913">
        <f>[1]!srRng2E(D22,G22)</f>
        <v>0.15724206349206349</v>
      </c>
      <c r="F19" s="371"/>
      <c r="G19" s="576">
        <f>G22</f>
        <v>5</v>
      </c>
      <c r="H19" s="591" t="s">
        <v>233</v>
      </c>
      <c r="I19" s="914">
        <f>[1]!srEnew(D22,E19,G19)</f>
        <v>0</v>
      </c>
      <c r="J19" s="876">
        <f>I19*F20</f>
        <v>0</v>
      </c>
      <c r="K19" s="981">
        <f>L19/F20</f>
        <v>0.15724206349206349</v>
      </c>
      <c r="L19" s="980">
        <f>(E19-I19)*F20</f>
        <v>13.208333333333332</v>
      </c>
      <c r="M19" s="217"/>
      <c r="N19" s="217"/>
      <c r="O19" s="720" t="s">
        <v>617</v>
      </c>
      <c r="P19" s="88"/>
      <c r="Q19" s="9"/>
      <c r="R19" s="860" t="s">
        <v>618</v>
      </c>
      <c r="S19" s="9"/>
      <c r="T19" s="9"/>
      <c r="X19" s="217"/>
    </row>
    <row r="20" spans="2:24">
      <c r="B20" s="9"/>
      <c r="C20" s="386"/>
      <c r="D20" s="361" t="s">
        <v>278</v>
      </c>
      <c r="E20" s="179" t="str">
        <f>[1]!srElmNm([1]!srInfoIonZ(D22))&amp;"-"</f>
        <v>Kr-</v>
      </c>
      <c r="F20" s="180">
        <f>[1]!srInfoIonA(D22)</f>
        <v>84</v>
      </c>
      <c r="G20" s="459" t="str">
        <f>[1]!srInfoTrgName(D22)</f>
        <v>Si</v>
      </c>
      <c r="H20" s="169"/>
      <c r="I20" s="523"/>
      <c r="J20" s="194"/>
      <c r="K20" s="128"/>
      <c r="L20" s="802"/>
      <c r="M20" s="977" t="s">
        <v>676</v>
      </c>
      <c r="N20" s="9"/>
      <c r="O20" s="497" t="s">
        <v>662</v>
      </c>
      <c r="P20" s="106">
        <f>[1]!srdEfpk(D22,O37,P10,-1)</f>
        <v>0.56519274376417217</v>
      </c>
      <c r="Q20" s="503" t="s">
        <v>668</v>
      </c>
      <c r="R20" s="70"/>
      <c r="S20" s="70"/>
      <c r="T20" s="363" t="str">
        <f>IF((P20&lt;=0),"Err21:NoPeak","PkFound")</f>
        <v>PkFound</v>
      </c>
      <c r="U20" s="70"/>
      <c r="X20" s="9"/>
    </row>
    <row r="21" spans="2:24">
      <c r="B21" s="9"/>
      <c r="C21" s="388"/>
      <c r="D21" s="356">
        <f>E22*F20</f>
        <v>23.916849015317286</v>
      </c>
      <c r="E21" s="182" t="s">
        <v>52</v>
      </c>
      <c r="F21" s="169"/>
      <c r="G21" s="199" t="s">
        <v>81</v>
      </c>
      <c r="H21" s="169"/>
      <c r="I21" s="196" t="s">
        <v>490</v>
      </c>
      <c r="J21" s="196" t="s">
        <v>72</v>
      </c>
      <c r="K21" s="197" t="s">
        <v>491</v>
      </c>
      <c r="L21" s="419" t="s">
        <v>90</v>
      </c>
      <c r="M21" s="112" t="s">
        <v>259</v>
      </c>
      <c r="N21" s="9"/>
      <c r="O21" s="440" t="s">
        <v>663</v>
      </c>
      <c r="P21" s="858">
        <f>[1]!srdEfpkE(D22,O37,P10,-1)</f>
        <v>2.6785714285714284</v>
      </c>
      <c r="Q21" s="857" t="s">
        <v>669</v>
      </c>
      <c r="R21" s="217"/>
      <c r="S21" s="70"/>
      <c r="T21" s="70"/>
      <c r="X21" s="9"/>
    </row>
    <row r="22" spans="2:24" ht="14.25" thickBot="1">
      <c r="B22" s="9"/>
      <c r="C22" s="390" t="s">
        <v>55</v>
      </c>
      <c r="D22" s="899" t="str">
        <f>'dbg30'!D22</f>
        <v>srim84Kr_Si</v>
      </c>
      <c r="E22" s="474">
        <f>[1]!srDEt_eq_Eold(D17,D22,E17,G17,F10)</f>
        <v>0.28472439303949149</v>
      </c>
      <c r="F22" s="393" t="s">
        <v>49</v>
      </c>
      <c r="G22" s="475">
        <f>G17</f>
        <v>5</v>
      </c>
      <c r="H22" s="393" t="s">
        <v>49</v>
      </c>
      <c r="I22" s="407">
        <f>[1]!srEnew(D22,E22,G22)</f>
        <v>4.6519627345666732E-2</v>
      </c>
      <c r="J22" s="396">
        <f>I22*F20</f>
        <v>3.9076486970360054</v>
      </c>
      <c r="K22" s="522">
        <f>E22-I22</f>
        <v>0.23820476569382476</v>
      </c>
      <c r="L22" s="989">
        <f>K22*F20</f>
        <v>20.00920031828128</v>
      </c>
      <c r="M22" s="884">
        <f>L22/L17</f>
        <v>1.000460015914064</v>
      </c>
      <c r="N22" s="9"/>
      <c r="O22" s="498" t="s">
        <v>666</v>
      </c>
      <c r="P22" s="952">
        <f>IF((P20&gt;P17),P20,P17)</f>
        <v>0.56519274376417217</v>
      </c>
      <c r="Q22" s="856" t="s">
        <v>667</v>
      </c>
      <c r="X22" s="9"/>
    </row>
    <row r="23" spans="2:24">
      <c r="B23" s="9"/>
      <c r="C23" s="220"/>
      <c r="D23" s="551"/>
      <c r="E23" s="235"/>
      <c r="F23" s="9"/>
      <c r="G23" s="276"/>
      <c r="H23" s="9"/>
      <c r="I23" s="871" t="s">
        <v>76</v>
      </c>
      <c r="J23" s="872"/>
      <c r="K23" s="527"/>
      <c r="L23" s="217"/>
      <c r="M23" s="217"/>
      <c r="N23" s="9"/>
      <c r="O23" s="173" t="s">
        <v>665</v>
      </c>
      <c r="P23" s="809">
        <f>IF((P20&gt;P17),P21,P17)</f>
        <v>2.6785714285714284</v>
      </c>
      <c r="Q23" s="151" t="s">
        <v>664</v>
      </c>
      <c r="X23" s="9"/>
    </row>
    <row r="24" spans="2:24">
      <c r="B24" s="9"/>
      <c r="C24" s="900" t="s">
        <v>632</v>
      </c>
      <c r="D24" s="937"/>
      <c r="E24" s="354"/>
      <c r="F24" s="354"/>
      <c r="G24" s="978"/>
      <c r="H24" s="9"/>
      <c r="I24" s="9"/>
      <c r="J24" s="9"/>
      <c r="K24" s="9"/>
      <c r="L24" s="9"/>
      <c r="M24" s="9"/>
      <c r="N24" s="9"/>
      <c r="O24" s="720" t="s">
        <v>619</v>
      </c>
      <c r="R24" s="860" t="s">
        <v>620</v>
      </c>
      <c r="X24" s="9"/>
    </row>
    <row r="25" spans="2:24">
      <c r="B25" s="35"/>
      <c r="G25" s="458"/>
      <c r="N25" s="35"/>
      <c r="O25" s="861" t="s">
        <v>621</v>
      </c>
      <c r="P25" s="945">
        <f>P22*P15</f>
        <v>47.47619047619046</v>
      </c>
      <c r="Q25" s="151" t="s">
        <v>622</v>
      </c>
    </row>
    <row r="26" spans="2:24">
      <c r="B26" s="35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5"/>
      <c r="O26" s="862" t="s">
        <v>623</v>
      </c>
      <c r="P26" s="863">
        <f>S7</f>
        <v>-1</v>
      </c>
      <c r="T26" s="894" t="str">
        <f>IF((P26=1),"dEu search mode","dEt search mode")</f>
        <v>dEt search mode</v>
      </c>
    </row>
    <row r="27" spans="2:24">
      <c r="B27" s="9"/>
      <c r="C27" s="488"/>
      <c r="D27" s="488"/>
      <c r="E27" s="489"/>
      <c r="F27" s="207"/>
      <c r="G27" s="221"/>
      <c r="H27" s="35"/>
      <c r="I27" s="484"/>
      <c r="J27" s="221"/>
      <c r="K27" s="221"/>
      <c r="L27" s="484"/>
      <c r="M27" s="490"/>
      <c r="O27" s="862" t="s">
        <v>624</v>
      </c>
      <c r="P27" s="156" t="b">
        <f>IF((P25&lt;P13),TRUE,FALSE)</f>
        <v>0</v>
      </c>
      <c r="Q27" s="856" t="s">
        <v>700</v>
      </c>
      <c r="T27" s="894" t="str">
        <f>IF((P27=TRUE),"No Answer","")</f>
        <v/>
      </c>
    </row>
    <row r="28" spans="2:24">
      <c r="B28" s="9"/>
      <c r="C28" s="36"/>
      <c r="D28" s="36"/>
      <c r="E28" s="36"/>
      <c r="F28" s="36"/>
      <c r="G28" s="491"/>
      <c r="H28" s="36"/>
      <c r="I28" s="35"/>
      <c r="J28" s="492"/>
      <c r="K28" s="492"/>
      <c r="L28" s="35"/>
      <c r="M28" s="35"/>
      <c r="O28" s="862" t="s">
        <v>677</v>
      </c>
      <c r="P28" s="156" t="b">
        <f>IF((P25=P13),TRUE,FALSE)</f>
        <v>0</v>
      </c>
      <c r="Q28" s="856" t="s">
        <v>701</v>
      </c>
      <c r="T28" s="894" t="str">
        <f>IF((P28=TRUE),"Only One Answer","")</f>
        <v/>
      </c>
    </row>
    <row r="29" spans="2:24">
      <c r="B29" s="9"/>
      <c r="C29" s="485"/>
      <c r="D29" s="207"/>
      <c r="E29" s="493"/>
      <c r="F29" s="35"/>
      <c r="G29" s="465"/>
      <c r="H29" s="35"/>
      <c r="I29" s="466"/>
      <c r="J29" s="482"/>
      <c r="K29" s="353"/>
      <c r="L29" s="353"/>
      <c r="M29" s="353"/>
      <c r="O29" s="905" t="s">
        <v>625</v>
      </c>
      <c r="P29" s="903">
        <f>P13/P15</f>
        <v>0.23809523809523808</v>
      </c>
      <c r="Q29" s="904" t="s">
        <v>657</v>
      </c>
      <c r="R29" s="919"/>
      <c r="S29" s="922" t="s">
        <v>656</v>
      </c>
      <c r="T29" s="919"/>
    </row>
    <row r="30" spans="2:24">
      <c r="B30" s="9"/>
      <c r="C30" s="486"/>
      <c r="D30" s="207"/>
      <c r="E30" s="493"/>
      <c r="F30" s="35"/>
      <c r="G30" s="465"/>
      <c r="H30" s="35"/>
      <c r="I30" s="466"/>
      <c r="J30" s="482"/>
      <c r="K30" s="353"/>
      <c r="L30" s="353"/>
      <c r="M30" s="353"/>
      <c r="N30" s="70"/>
      <c r="O30" s="864" t="s">
        <v>645</v>
      </c>
      <c r="P30" s="865">
        <f>[1]!srdE2ixE(D22,P23,P16,P29,S6)</f>
        <v>136</v>
      </c>
      <c r="Q30" s="503" t="s">
        <v>670</v>
      </c>
    </row>
    <row r="31" spans="2:24">
      <c r="B31" s="9"/>
      <c r="C31" s="486"/>
      <c r="D31" s="207"/>
      <c r="E31" s="493"/>
      <c r="F31" s="35"/>
      <c r="G31" s="465"/>
      <c r="H31" s="35"/>
      <c r="I31" s="466"/>
      <c r="J31" s="482"/>
      <c r="K31" s="353"/>
      <c r="L31" s="353"/>
      <c r="M31" s="353"/>
      <c r="N31" s="70"/>
      <c r="O31" s="720" t="s">
        <v>628</v>
      </c>
      <c r="R31" s="860" t="s">
        <v>629</v>
      </c>
    </row>
    <row r="32" spans="2:24">
      <c r="B32" s="9"/>
      <c r="C32" s="486"/>
      <c r="D32" s="207"/>
      <c r="E32" s="493"/>
      <c r="F32" s="35"/>
      <c r="G32" s="465"/>
      <c r="H32" s="35"/>
      <c r="I32" s="466"/>
      <c r="J32" s="482"/>
      <c r="K32" s="353"/>
      <c r="L32" s="353"/>
      <c r="M32" s="353"/>
      <c r="N32" s="70"/>
      <c r="O32" s="861" t="s">
        <v>673</v>
      </c>
      <c r="P32" s="112">
        <f>IF((S6&gt;0),P30+1,P30-1)</f>
        <v>135</v>
      </c>
      <c r="Q32" s="151" t="s">
        <v>644</v>
      </c>
    </row>
    <row r="33" spans="2:24">
      <c r="B33" s="9"/>
      <c r="C33" s="486"/>
      <c r="D33" s="494"/>
      <c r="E33" s="495"/>
      <c r="F33" s="35"/>
      <c r="G33" s="465"/>
      <c r="H33" s="35"/>
      <c r="I33" s="466"/>
      <c r="J33" s="482"/>
      <c r="K33" s="353"/>
      <c r="L33" s="353"/>
      <c r="M33" s="496"/>
      <c r="O33" s="906" t="s">
        <v>630</v>
      </c>
      <c r="P33" s="224">
        <f>[1]!srdEip(D22,P16,P29,P32,P30)</f>
        <v>0.28472439303949149</v>
      </c>
      <c r="Q33" s="503" t="s">
        <v>671</v>
      </c>
    </row>
    <row r="34" spans="2:24">
      <c r="B34" s="35"/>
      <c r="C34" s="486"/>
      <c r="D34" s="207"/>
      <c r="E34" s="493"/>
      <c r="F34" s="35"/>
      <c r="G34" s="465"/>
      <c r="H34" s="35"/>
      <c r="I34" s="466"/>
      <c r="J34" s="482"/>
      <c r="K34" s="353"/>
      <c r="L34" s="353"/>
      <c r="M34" s="353"/>
      <c r="N34" s="35"/>
      <c r="X34" s="9"/>
    </row>
    <row r="35" spans="2:24">
      <c r="B35" s="35"/>
      <c r="C35" s="486"/>
      <c r="D35" s="207"/>
      <c r="E35" s="493"/>
      <c r="F35" s="35"/>
      <c r="G35" s="465"/>
      <c r="H35" s="35"/>
      <c r="I35" s="466"/>
      <c r="J35" s="482"/>
      <c r="K35" s="353"/>
      <c r="L35" s="353"/>
      <c r="M35" s="353"/>
      <c r="N35" s="35"/>
      <c r="O35" s="875" t="s">
        <v>256</v>
      </c>
      <c r="P35" s="875" t="s">
        <v>702</v>
      </c>
      <c r="Q35" s="987" t="s">
        <v>697</v>
      </c>
      <c r="X35" s="9"/>
    </row>
    <row r="36" spans="2:24">
      <c r="B36" s="35"/>
      <c r="C36" s="486"/>
      <c r="D36" s="207"/>
      <c r="E36" s="493"/>
      <c r="F36" s="35"/>
      <c r="G36" s="465"/>
      <c r="H36" s="35"/>
      <c r="I36" s="466"/>
      <c r="J36" s="482"/>
      <c r="K36" s="353"/>
      <c r="L36" s="353"/>
      <c r="M36" s="353"/>
      <c r="N36" s="986" t="s">
        <v>695</v>
      </c>
      <c r="O36" s="985">
        <f>[1]!srMinE(D22)</f>
        <v>1.071427380952381E-5</v>
      </c>
      <c r="P36" s="873">
        <f>P13</f>
        <v>20</v>
      </c>
      <c r="X36" s="9"/>
    </row>
    <row r="37" spans="2:24" s="9" customFormat="1">
      <c r="B37" s="35"/>
      <c r="C37" s="486"/>
      <c r="D37" s="207"/>
      <c r="E37" s="493"/>
      <c r="F37" s="207"/>
      <c r="G37" s="465"/>
      <c r="H37" s="207"/>
      <c r="I37" s="466"/>
      <c r="J37" s="482"/>
      <c r="K37" s="353"/>
      <c r="L37" s="353"/>
      <c r="M37" s="353"/>
      <c r="N37" s="986" t="s">
        <v>696</v>
      </c>
      <c r="O37" s="984">
        <f>[1]!srMaxE(D22)</f>
        <v>1000</v>
      </c>
      <c r="P37" s="874">
        <f>P13</f>
        <v>20</v>
      </c>
      <c r="T37" s="9" t="s">
        <v>675</v>
      </c>
      <c r="W37" s="11"/>
    </row>
    <row r="38" spans="2:24" s="9" customFormat="1">
      <c r="C38" s="35"/>
      <c r="D38" s="35"/>
      <c r="E38" s="68"/>
      <c r="F38" s="35"/>
      <c r="G38" s="68"/>
      <c r="H38" s="35"/>
      <c r="I38" s="69"/>
      <c r="J38" s="209"/>
      <c r="K38" s="35"/>
      <c r="L38" s="35"/>
      <c r="M38" s="353"/>
      <c r="N38" s="11"/>
      <c r="O38" s="146" t="s">
        <v>313</v>
      </c>
      <c r="T38" s="972">
        <f>P29</f>
        <v>0.23809523809523808</v>
      </c>
    </row>
    <row r="39" spans="2:24" s="9" customFormat="1">
      <c r="C39" s="485"/>
      <c r="D39" s="207"/>
      <c r="E39" s="493"/>
      <c r="F39" s="35"/>
      <c r="G39" s="465"/>
      <c r="H39" s="35"/>
      <c r="I39" s="466"/>
      <c r="J39" s="482"/>
      <c r="K39" s="353"/>
      <c r="L39" s="353"/>
      <c r="M39" s="353"/>
      <c r="N39" s="11"/>
      <c r="O39" s="803" t="s">
        <v>674</v>
      </c>
      <c r="P39" s="53" t="s">
        <v>256</v>
      </c>
      <c r="Q39" s="54" t="s">
        <v>304</v>
      </c>
      <c r="R39" s="54" t="s">
        <v>316</v>
      </c>
      <c r="S39" s="54" t="s">
        <v>77</v>
      </c>
      <c r="T39" s="54" t="s">
        <v>79</v>
      </c>
      <c r="U39" s="501" t="s">
        <v>74</v>
      </c>
    </row>
    <row r="40" spans="2:24" s="9" customFormat="1" ht="12">
      <c r="C40" s="486"/>
      <c r="D40" s="207"/>
      <c r="E40" s="493"/>
      <c r="F40" s="35"/>
      <c r="G40" s="465"/>
      <c r="H40" s="35"/>
      <c r="I40" s="466"/>
      <c r="J40" s="482"/>
      <c r="K40" s="353"/>
      <c r="L40" s="353"/>
      <c r="M40" s="353"/>
      <c r="N40" s="502"/>
      <c r="O40" s="351">
        <f>P32</f>
        <v>135</v>
      </c>
      <c r="P40" s="368" t="s">
        <v>25</v>
      </c>
      <c r="Q40" s="345" t="s">
        <v>34</v>
      </c>
      <c r="R40" s="345" t="s">
        <v>34</v>
      </c>
      <c r="S40" s="345" t="s">
        <v>0</v>
      </c>
      <c r="T40" s="87" t="s">
        <v>0</v>
      </c>
      <c r="U40" s="196" t="s">
        <v>68</v>
      </c>
    </row>
    <row r="41" spans="2:24" s="9" customFormat="1" ht="12">
      <c r="C41" s="486"/>
      <c r="D41" s="207"/>
      <c r="E41" s="493"/>
      <c r="F41" s="35"/>
      <c r="G41" s="465"/>
      <c r="H41" s="35"/>
      <c r="I41" s="466"/>
      <c r="J41" s="482"/>
      <c r="K41" s="353"/>
      <c r="L41" s="353"/>
      <c r="M41" s="353"/>
      <c r="N41" s="90"/>
      <c r="O41" s="504">
        <f>O40-2</f>
        <v>133</v>
      </c>
      <c r="P41" s="514">
        <f>[1]!srIx2Val(D$22,O41,1)</f>
        <v>0.21428571428571427</v>
      </c>
      <c r="Q41" s="518">
        <f>[1]!srIx2Val(D$22,O41,5)</f>
        <v>6.05</v>
      </c>
      <c r="R41" s="512">
        <f>Q41-P$16</f>
        <v>1.0499999999999998</v>
      </c>
      <c r="S41" s="139">
        <f>IF(R41&lt;=0,0,[1]!srRng2E(D$22,R41))</f>
        <v>2.0436507936507933E-2</v>
      </c>
      <c r="T41" s="956">
        <f>P41-S41</f>
        <v>0.19384920634920633</v>
      </c>
      <c r="U41" s="960">
        <f>T41*P$15</f>
        <v>16.283333333333331</v>
      </c>
    </row>
    <row r="42" spans="2:24" s="9" customFormat="1">
      <c r="C42" s="486"/>
      <c r="D42" s="207"/>
      <c r="E42" s="493"/>
      <c r="F42" s="35"/>
      <c r="G42" s="465"/>
      <c r="H42" s="35"/>
      <c r="I42" s="466"/>
      <c r="J42" s="482"/>
      <c r="K42" s="353"/>
      <c r="L42" s="353"/>
      <c r="M42" s="353"/>
      <c r="O42" s="505">
        <f>O40-1</f>
        <v>134</v>
      </c>
      <c r="P42" s="515">
        <f>[1]!srIx2Val(D$22,O42,1)</f>
        <v>0.23809523809523808</v>
      </c>
      <c r="Q42" s="519">
        <f>[1]!srIx2Val(D$22,O42,5)</f>
        <v>6.44</v>
      </c>
      <c r="R42" s="509">
        <f>Q42-P$16</f>
        <v>1.4400000000000004</v>
      </c>
      <c r="S42" s="143">
        <f>IF(R42&lt;=0,0,[1]!srRng2E(D$22,R42))</f>
        <v>2.8617216117216123E-2</v>
      </c>
      <c r="T42" s="957">
        <f t="shared" ref="T42:T45" si="0">P42-S42</f>
        <v>0.20947802197802196</v>
      </c>
      <c r="U42" s="961">
        <f>T42*P$15</f>
        <v>17.596153846153843</v>
      </c>
      <c r="V42" s="11"/>
      <c r="W42" s="11"/>
    </row>
    <row r="43" spans="2:24" s="9" customFormat="1">
      <c r="C43" s="486"/>
      <c r="D43" s="494"/>
      <c r="E43" s="495"/>
      <c r="F43" s="35"/>
      <c r="G43" s="465"/>
      <c r="H43" s="35"/>
      <c r="I43" s="466"/>
      <c r="J43" s="482"/>
      <c r="K43" s="353"/>
      <c r="L43" s="353"/>
      <c r="M43" s="353"/>
      <c r="O43" s="506">
        <f>O40</f>
        <v>135</v>
      </c>
      <c r="P43" s="516">
        <f>[1]!srIx2Val(D$22,O43,1)</f>
        <v>0.26785714285714285</v>
      </c>
      <c r="Q43" s="520">
        <f>[1]!srIx2Val(D$22,O43,5)</f>
        <v>6.91</v>
      </c>
      <c r="R43" s="510">
        <f>Q43-P$16</f>
        <v>1.9100000000000001</v>
      </c>
      <c r="S43" s="511">
        <f>IF(R43&lt;=0,0,[1]!srRng2E(D$22,R43))</f>
        <v>3.9772727272727272E-2</v>
      </c>
      <c r="T43" s="958">
        <f t="shared" si="0"/>
        <v>0.22808441558441558</v>
      </c>
      <c r="U43" s="962">
        <f>T43*P$15</f>
        <v>19.15909090909091</v>
      </c>
      <c r="V43" s="11"/>
      <c r="W43" s="11"/>
    </row>
    <row r="44" spans="2:24" s="9" customFormat="1">
      <c r="C44" s="486"/>
      <c r="D44" s="207"/>
      <c r="E44" s="493"/>
      <c r="F44" s="35"/>
      <c r="G44" s="465"/>
      <c r="H44" s="35"/>
      <c r="I44" s="466"/>
      <c r="J44" s="482"/>
      <c r="K44" s="353"/>
      <c r="L44" s="353"/>
      <c r="M44" s="353"/>
      <c r="O44" s="507">
        <f>O40+1</f>
        <v>136</v>
      </c>
      <c r="P44" s="515">
        <f>[1]!srIx2Val(D$22,O44,1)</f>
        <v>0.29761904761904762</v>
      </c>
      <c r="Q44" s="519">
        <f>[1]!srIx2Val(D$22,O44,5)</f>
        <v>7.35</v>
      </c>
      <c r="R44" s="509">
        <f>Q44-P$16</f>
        <v>2.3499999999999996</v>
      </c>
      <c r="S44" s="143">
        <f>IF(R44&lt;=0,0,[1]!srRng2E(D$22,R44))</f>
        <v>5.1870748299319709E-2</v>
      </c>
      <c r="T44" s="957">
        <f t="shared" si="0"/>
        <v>0.24574829931972791</v>
      </c>
      <c r="U44" s="961">
        <f>T44*P$15</f>
        <v>20.642857142857146</v>
      </c>
      <c r="V44" s="11"/>
      <c r="W44" s="11"/>
    </row>
    <row r="45" spans="2:24" s="9" customFormat="1">
      <c r="C45" s="486"/>
      <c r="D45" s="207"/>
      <c r="E45" s="493"/>
      <c r="F45" s="35"/>
      <c r="G45" s="465"/>
      <c r="H45" s="35"/>
      <c r="I45" s="466"/>
      <c r="J45" s="482"/>
      <c r="K45" s="353"/>
      <c r="L45" s="353"/>
      <c r="M45" s="353"/>
      <c r="O45" s="508">
        <f>O40+2</f>
        <v>137</v>
      </c>
      <c r="P45" s="517">
        <f>[1]!srIx2Val(D$22,O45,1)</f>
        <v>0.32738095238095238</v>
      </c>
      <c r="Q45" s="521">
        <f>[1]!srIx2Val(D$22,O45,5)</f>
        <v>7.77</v>
      </c>
      <c r="R45" s="513">
        <f>Q45-P$16</f>
        <v>2.7699999999999996</v>
      </c>
      <c r="S45" s="355">
        <f>IF(R45&lt;=0,0,[1]!srRng2E(D$22,R45))</f>
        <v>6.4849624060150365E-2</v>
      </c>
      <c r="T45" s="959">
        <f t="shared" si="0"/>
        <v>0.262531328320802</v>
      </c>
      <c r="U45" s="524">
        <f>T45*P$15</f>
        <v>22.05263157894737</v>
      </c>
      <c r="V45" s="11"/>
      <c r="W45" s="11"/>
    </row>
    <row r="46" spans="2:24" s="9" customFormat="1">
      <c r="C46" s="486"/>
      <c r="D46" s="207"/>
      <c r="E46" s="493"/>
      <c r="F46" s="35"/>
      <c r="G46" s="465"/>
      <c r="H46" s="35"/>
      <c r="I46" s="466"/>
      <c r="J46" s="482"/>
      <c r="K46" s="353"/>
      <c r="L46" s="353"/>
      <c r="M46" s="353"/>
      <c r="O46" s="483" t="s">
        <v>317</v>
      </c>
      <c r="V46" s="11"/>
      <c r="W46" s="11"/>
    </row>
    <row r="47" spans="2:24" s="9" customFormat="1">
      <c r="C47" s="486"/>
      <c r="D47" s="207"/>
      <c r="E47" s="493"/>
      <c r="F47" s="207"/>
      <c r="G47" s="465"/>
      <c r="H47" s="207"/>
      <c r="I47" s="466"/>
      <c r="J47" s="482"/>
      <c r="K47" s="353"/>
      <c r="L47" s="353"/>
      <c r="M47" s="353"/>
      <c r="O47" s="954">
        <f>P32</f>
        <v>135</v>
      </c>
      <c r="P47" s="928">
        <f>[1]!srIx2Val(D$22,O47,1)</f>
        <v>0.26785714285714285</v>
      </c>
      <c r="Q47" s="929">
        <f>[1]!srIx2Val(D$22,O47,5)</f>
        <v>6.91</v>
      </c>
      <c r="R47" s="929">
        <f>Q47-P$16</f>
        <v>1.9100000000000001</v>
      </c>
      <c r="S47" s="928">
        <f>IF(R47&lt;=0,0,[1]!srRng2E(D$22,R47))</f>
        <v>3.9772727272727272E-2</v>
      </c>
      <c r="T47" s="963">
        <f t="shared" ref="T47:T48" si="1">P47-S47</f>
        <v>0.22808441558441558</v>
      </c>
      <c r="U47" s="964">
        <f>T47*P$15</f>
        <v>19.15909090909091</v>
      </c>
      <c r="V47" s="11"/>
      <c r="W47" s="11"/>
    </row>
    <row r="48" spans="2:24" s="9" customFormat="1"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90"/>
      <c r="O48" s="955">
        <f>P30</f>
        <v>136</v>
      </c>
      <c r="P48" s="924">
        <f>[1]!srIx2Val(D$22,O48,1)</f>
        <v>0.29761904761904762</v>
      </c>
      <c r="Q48" s="925">
        <f>[1]!srIx2Val(D$22,O48,5)</f>
        <v>7.35</v>
      </c>
      <c r="R48" s="926">
        <f>Q48-P$16</f>
        <v>2.3499999999999996</v>
      </c>
      <c r="S48" s="927">
        <f>IF(R48&lt;=0,0,[1]!srRng2E(D$22,R48))</f>
        <v>5.1870748299319709E-2</v>
      </c>
      <c r="T48" s="965">
        <f t="shared" si="1"/>
        <v>0.24574829931972791</v>
      </c>
      <c r="U48" s="966">
        <f>T48*P$15</f>
        <v>20.642857142857146</v>
      </c>
      <c r="V48" s="11"/>
      <c r="W48" s="11"/>
    </row>
    <row r="49" spans="9:24">
      <c r="N49" s="90"/>
      <c r="Q49" s="527"/>
      <c r="R49" s="217"/>
      <c r="S49" s="217"/>
      <c r="T49" s="217"/>
      <c r="U49" s="217"/>
      <c r="W49" s="217"/>
      <c r="X49" s="9"/>
    </row>
    <row r="50" spans="9:24">
      <c r="N50" s="9"/>
      <c r="O50" s="938" t="s">
        <v>642</v>
      </c>
      <c r="Q50" s="527"/>
      <c r="R50" s="217"/>
      <c r="S50" s="217"/>
      <c r="T50" s="969">
        <f>P29-T47</f>
        <v>1.0010822510822498E-2</v>
      </c>
      <c r="U50" s="217"/>
      <c r="W50" s="9"/>
      <c r="X50" s="9"/>
    </row>
    <row r="51" spans="9:24">
      <c r="N51" s="9"/>
      <c r="O51" s="938" t="s">
        <v>131</v>
      </c>
      <c r="P51" s="139">
        <f>P48-P47</f>
        <v>2.9761904761904767E-2</v>
      </c>
      <c r="Q51" s="528">
        <f t="shared" ref="Q51:U51" si="2">Q48-Q47</f>
        <v>0.4399999999999995</v>
      </c>
      <c r="R51" s="529">
        <f t="shared" si="2"/>
        <v>0.4399999999999995</v>
      </c>
      <c r="S51" s="529">
        <f t="shared" si="2"/>
        <v>1.2098021026592437E-2</v>
      </c>
      <c r="T51" s="967">
        <f t="shared" si="2"/>
        <v>1.766388373531233E-2</v>
      </c>
      <c r="U51" s="968">
        <f t="shared" si="2"/>
        <v>1.4837662337662358</v>
      </c>
      <c r="W51" s="9"/>
      <c r="X51" s="9"/>
    </row>
    <row r="52" spans="9:24">
      <c r="N52" s="9"/>
      <c r="O52" s="91" t="s">
        <v>132</v>
      </c>
      <c r="P52" s="350"/>
      <c r="Q52" s="530">
        <f>Q51/P51</f>
        <v>14.783999999999981</v>
      </c>
      <c r="R52" s="530">
        <f>R51/P51</f>
        <v>14.783999999999981</v>
      </c>
      <c r="S52" s="530">
        <f>S51/P51</f>
        <v>0.4064935064935058</v>
      </c>
      <c r="T52" s="530">
        <f>T51/P51</f>
        <v>0.5935064935064942</v>
      </c>
      <c r="U52" s="953">
        <f>U51/P51</f>
        <v>49.854545454545516</v>
      </c>
      <c r="W52" s="9"/>
      <c r="X52" s="9"/>
    </row>
    <row r="53" spans="9:24">
      <c r="N53" s="9"/>
      <c r="O53" s="349" t="s">
        <v>133</v>
      </c>
      <c r="P53" s="477"/>
      <c r="Q53" s="477">
        <f>Q47+Q52*T50</f>
        <v>7.0579999999999998</v>
      </c>
      <c r="R53" s="477">
        <f>R47+R52*T50</f>
        <v>2.0579999999999998</v>
      </c>
      <c r="S53" s="477">
        <f>S47+S52*T50</f>
        <v>4.3842061618035631E-2</v>
      </c>
      <c r="T53" s="970">
        <f>T47+T52*T50</f>
        <v>0.23402590374992971</v>
      </c>
      <c r="U53" s="971">
        <f>U47+U52*T50</f>
        <v>19.658175914994096</v>
      </c>
      <c r="V53" s="488"/>
      <c r="W53" s="9"/>
      <c r="X53" s="9"/>
    </row>
    <row r="54" spans="9:24">
      <c r="N54" s="9"/>
      <c r="O54" s="923" t="s">
        <v>643</v>
      </c>
      <c r="P54" s="930">
        <f>T50/T52+P47</f>
        <v>0.28472439303949149</v>
      </c>
      <c r="V54" s="488"/>
      <c r="W54" s="9"/>
      <c r="X54" s="9"/>
    </row>
    <row r="55" spans="9:24">
      <c r="V55" s="488"/>
      <c r="W55" s="9"/>
      <c r="X55" s="9"/>
    </row>
    <row r="56" spans="9:24">
      <c r="I56" s="840" t="s">
        <v>680</v>
      </c>
      <c r="J56" s="841"/>
      <c r="K56" s="842" t="s">
        <v>573</v>
      </c>
      <c r="L56" s="842" t="s">
        <v>574</v>
      </c>
      <c r="M56" s="111"/>
      <c r="N56" s="112"/>
      <c r="Q56" s="11"/>
      <c r="V56" s="917"/>
      <c r="W56" s="9"/>
      <c r="X56" s="9"/>
    </row>
    <row r="57" spans="9:24">
      <c r="I57" s="843" t="s">
        <v>566</v>
      </c>
      <c r="J57" s="844" t="s">
        <v>96</v>
      </c>
      <c r="K57" s="844" t="s">
        <v>565</v>
      </c>
      <c r="L57" s="844" t="s">
        <v>572</v>
      </c>
      <c r="M57" s="979" t="s">
        <v>579</v>
      </c>
      <c r="N57" s="357"/>
      <c r="Q57" s="11"/>
      <c r="V57" s="679"/>
      <c r="W57" s="9"/>
      <c r="X57" s="9"/>
    </row>
    <row r="58" spans="9:24">
      <c r="I58" s="138" t="s">
        <v>569</v>
      </c>
      <c r="J58" s="138" t="s">
        <v>568</v>
      </c>
      <c r="K58" s="850" t="s">
        <v>530</v>
      </c>
      <c r="L58" s="950" t="s">
        <v>571</v>
      </c>
      <c r="M58" s="9"/>
      <c r="N58" s="9"/>
      <c r="Q58" s="11"/>
      <c r="V58" s="679"/>
      <c r="W58" s="9"/>
    </row>
    <row r="59" spans="9:24">
      <c r="I59" s="138" t="s">
        <v>568</v>
      </c>
      <c r="J59" s="950" t="s">
        <v>658</v>
      </c>
      <c r="K59" s="850" t="s">
        <v>530</v>
      </c>
      <c r="L59" s="950" t="s">
        <v>571</v>
      </c>
      <c r="M59" s="9" t="s">
        <v>659</v>
      </c>
      <c r="N59" s="9"/>
      <c r="Q59" s="11"/>
      <c r="V59" s="679"/>
      <c r="W59" s="9"/>
    </row>
    <row r="60" spans="9:24">
      <c r="I60" s="950" t="s">
        <v>567</v>
      </c>
      <c r="J60" s="138" t="s">
        <v>568</v>
      </c>
      <c r="K60" s="850" t="s">
        <v>535</v>
      </c>
      <c r="L60" s="850" t="s">
        <v>575</v>
      </c>
      <c r="M60" s="9"/>
      <c r="N60" s="9"/>
      <c r="Q60" s="11"/>
      <c r="V60" s="679"/>
      <c r="W60" s="9"/>
    </row>
    <row r="61" spans="9:24">
      <c r="I61" s="950" t="s">
        <v>571</v>
      </c>
      <c r="J61" s="950" t="s">
        <v>571</v>
      </c>
      <c r="K61" s="850" t="s">
        <v>535</v>
      </c>
      <c r="L61" s="850" t="s">
        <v>592</v>
      </c>
      <c r="M61" s="9" t="s">
        <v>593</v>
      </c>
      <c r="N61" s="217"/>
      <c r="O61" s="217"/>
      <c r="P61" s="365" t="s">
        <v>594</v>
      </c>
      <c r="W61" s="9"/>
    </row>
    <row r="62" spans="9:24">
      <c r="I62" s="950" t="s">
        <v>571</v>
      </c>
      <c r="J62" s="950" t="s">
        <v>571</v>
      </c>
      <c r="K62" s="850" t="s">
        <v>535</v>
      </c>
      <c r="L62" s="850" t="s">
        <v>681</v>
      </c>
      <c r="M62" s="9" t="s">
        <v>682</v>
      </c>
      <c r="N62" s="217"/>
      <c r="O62" s="217"/>
      <c r="P62" s="365" t="s">
        <v>683</v>
      </c>
      <c r="W62" s="9"/>
    </row>
    <row r="63" spans="9:24">
      <c r="I63" s="950" t="s">
        <v>571</v>
      </c>
      <c r="J63" s="950" t="s">
        <v>571</v>
      </c>
      <c r="K63" s="850" t="s">
        <v>535</v>
      </c>
      <c r="L63" s="850" t="s">
        <v>684</v>
      </c>
      <c r="M63" s="9" t="s">
        <v>685</v>
      </c>
      <c r="N63" s="217"/>
      <c r="O63" s="217"/>
      <c r="P63" s="365" t="s">
        <v>686</v>
      </c>
      <c r="W63" s="9"/>
    </row>
    <row r="64" spans="9:24">
      <c r="I64" s="950" t="s">
        <v>571</v>
      </c>
      <c r="J64" s="950" t="s">
        <v>571</v>
      </c>
      <c r="K64" s="850" t="s">
        <v>535</v>
      </c>
      <c r="L64" s="850" t="s">
        <v>688</v>
      </c>
      <c r="M64" s="9" t="s">
        <v>687</v>
      </c>
      <c r="N64" s="217"/>
      <c r="O64" s="217"/>
      <c r="P64" s="365" t="s">
        <v>689</v>
      </c>
      <c r="W64" s="9"/>
    </row>
    <row r="65" spans="9:24">
      <c r="I65" s="950" t="s">
        <v>571</v>
      </c>
      <c r="J65" s="950" t="s">
        <v>571</v>
      </c>
      <c r="K65" s="850" t="s">
        <v>535</v>
      </c>
      <c r="L65" s="850" t="s">
        <v>690</v>
      </c>
      <c r="M65" s="9" t="s">
        <v>691</v>
      </c>
      <c r="N65" s="217"/>
      <c r="O65" s="217"/>
      <c r="P65" s="365" t="s">
        <v>692</v>
      </c>
      <c r="W65" s="9"/>
    </row>
    <row r="66" spans="9:24">
      <c r="I66" s="532"/>
      <c r="J66" s="532"/>
      <c r="K66" s="217"/>
      <c r="L66" s="217"/>
      <c r="M66" s="9"/>
      <c r="N66" s="9"/>
      <c r="Q66" s="11"/>
      <c r="W66" s="9"/>
    </row>
    <row r="67" spans="9:24">
      <c r="I67" s="845" t="s">
        <v>582</v>
      </c>
      <c r="J67" s="539"/>
      <c r="K67" s="540"/>
      <c r="L67" s="541"/>
      <c r="O67" s="11"/>
      <c r="P67" s="11"/>
      <c r="Q67" s="11"/>
      <c r="W67" s="9"/>
    </row>
    <row r="68" spans="9:24">
      <c r="I68" s="951" t="s">
        <v>320</v>
      </c>
      <c r="J68" s="847"/>
      <c r="K68" s="543" t="s">
        <v>42</v>
      </c>
      <c r="L68" s="544" t="s">
        <v>319</v>
      </c>
      <c r="O68" s="11"/>
      <c r="P68" s="11"/>
      <c r="Q68" s="11"/>
      <c r="R68" s="35"/>
      <c r="S68" s="35"/>
      <c r="T68" s="352"/>
      <c r="U68" s="217"/>
      <c r="W68" s="9"/>
    </row>
    <row r="69" spans="9:24">
      <c r="I69" s="550" t="s">
        <v>693</v>
      </c>
      <c r="J69" s="846"/>
      <c r="K69" s="535"/>
      <c r="L69" s="535"/>
      <c r="O69" s="11"/>
      <c r="P69" s="11"/>
      <c r="Q69" s="11"/>
      <c r="R69" s="348"/>
      <c r="S69" s="35"/>
      <c r="T69" s="490"/>
      <c r="U69" s="217"/>
      <c r="W69" s="9"/>
    </row>
    <row r="70" spans="9:24">
      <c r="I70" s="673" t="s">
        <v>694</v>
      </c>
      <c r="J70" s="846"/>
      <c r="K70" s="535">
        <v>0.5</v>
      </c>
      <c r="L70" s="535">
        <v>30</v>
      </c>
      <c r="O70" s="11"/>
      <c r="P70" s="11"/>
      <c r="Q70" s="11"/>
      <c r="R70" s="217"/>
      <c r="S70" s="217"/>
      <c r="T70" s="527"/>
      <c r="U70" s="217"/>
      <c r="W70" s="9"/>
    </row>
    <row r="71" spans="9:24">
      <c r="O71" s="11"/>
      <c r="P71" s="11"/>
      <c r="Q71" s="11"/>
      <c r="W71" s="9"/>
    </row>
    <row r="72" spans="9:24">
      <c r="O72" s="11"/>
      <c r="P72" s="11"/>
      <c r="Q72" s="11"/>
      <c r="W72" s="9"/>
    </row>
    <row r="73" spans="9:24">
      <c r="W73" s="9"/>
    </row>
    <row r="74" spans="9:24">
      <c r="W74" s="9"/>
    </row>
    <row r="75" spans="9:24">
      <c r="W75" s="9"/>
    </row>
    <row r="76" spans="9:24">
      <c r="W76" s="9"/>
    </row>
    <row r="77" spans="9:24">
      <c r="W77" s="9"/>
    </row>
    <row r="78" spans="9:24">
      <c r="O78" s="35"/>
      <c r="P78" s="35"/>
      <c r="Q78" s="35"/>
      <c r="R78" s="35"/>
      <c r="S78" s="35"/>
      <c r="T78" s="35"/>
      <c r="U78" s="35"/>
      <c r="V78" s="36"/>
      <c r="W78" s="35"/>
      <c r="X78" s="36"/>
    </row>
    <row r="79" spans="9:24">
      <c r="O79" s="35"/>
      <c r="P79" s="35"/>
      <c r="Q79" s="35"/>
      <c r="R79" s="35"/>
      <c r="S79" s="35"/>
      <c r="T79" s="35"/>
      <c r="U79" s="35"/>
      <c r="V79" s="36"/>
      <c r="W79" s="35"/>
      <c r="X79" s="36"/>
    </row>
    <row r="80" spans="9:24">
      <c r="O80" s="35"/>
      <c r="P80" s="35"/>
      <c r="Q80" s="35"/>
      <c r="R80" s="35"/>
      <c r="S80" s="35"/>
      <c r="T80" s="35"/>
      <c r="U80" s="35"/>
      <c r="V80" s="36"/>
      <c r="W80" s="35"/>
      <c r="X80" s="36"/>
    </row>
    <row r="81" spans="15:24">
      <c r="O81" s="35"/>
      <c r="P81" s="35"/>
      <c r="Q81" s="35"/>
      <c r="R81" s="35"/>
      <c r="S81" s="35"/>
      <c r="T81" s="35"/>
      <c r="U81" s="35"/>
      <c r="V81" s="36"/>
      <c r="W81" s="36"/>
      <c r="X81" s="36"/>
    </row>
    <row r="82" spans="15:24">
      <c r="O82" s="35"/>
      <c r="P82" s="35"/>
      <c r="Q82" s="488"/>
      <c r="R82" s="947"/>
      <c r="S82" s="35"/>
      <c r="T82" s="947"/>
      <c r="U82" s="41"/>
      <c r="V82" s="490"/>
      <c r="W82" s="36"/>
      <c r="X82" s="36"/>
    </row>
    <row r="83" spans="15:24">
      <c r="O83" s="35"/>
      <c r="P83" s="35"/>
      <c r="Q83" s="946"/>
      <c r="R83" s="948"/>
      <c r="S83" s="948"/>
      <c r="T83" s="466"/>
      <c r="U83" s="949"/>
      <c r="V83" s="490"/>
      <c r="W83" s="36"/>
      <c r="X83" s="36"/>
    </row>
    <row r="84" spans="15:24">
      <c r="O84" s="35"/>
      <c r="P84" s="35"/>
      <c r="Q84" s="35"/>
      <c r="R84" s="35"/>
      <c r="S84" s="35"/>
      <c r="T84" s="35"/>
      <c r="U84" s="490"/>
      <c r="V84" s="35"/>
      <c r="W84" s="36"/>
      <c r="X84" s="36"/>
    </row>
    <row r="85" spans="15:24">
      <c r="O85" s="35"/>
      <c r="P85" s="35"/>
      <c r="Q85" s="35"/>
      <c r="R85" s="35"/>
      <c r="S85" s="35"/>
      <c r="T85" s="35"/>
      <c r="U85" s="35"/>
      <c r="V85" s="36"/>
      <c r="W85" s="36"/>
      <c r="X85" s="36"/>
    </row>
    <row r="86" spans="15:24">
      <c r="O86" s="35"/>
      <c r="P86" s="35"/>
      <c r="Q86" s="35"/>
      <c r="R86" s="35"/>
      <c r="S86" s="35"/>
      <c r="T86" s="35"/>
      <c r="U86" s="35"/>
      <c r="V86" s="36"/>
      <c r="W86" s="36"/>
      <c r="X86" s="36"/>
    </row>
  </sheetData>
  <phoneticPr fontId="24"/>
  <pageMargins left="0.23622047244094491" right="0.23622047244094491" top="0.39370078740157483" bottom="0.39370078740157483" header="0.31496062992125984" footer="0.31496062992125984"/>
  <pageSetup paperSize="9" scale="80" pageOrder="overThenDown" orientation="landscape" r:id="rId1"/>
  <headerFooter>
    <oddHeader>&amp;L&amp;F&amp;A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I971"/>
  <sheetViews>
    <sheetView zoomScale="80" zoomScaleNormal="80" workbookViewId="0">
      <selection activeCell="O40" sqref="O40"/>
    </sheetView>
  </sheetViews>
  <sheetFormatPr defaultRowHeight="13.5"/>
  <cols>
    <col min="1" max="1" width="2.375" style="11" customWidth="1"/>
    <col min="2" max="2" width="4.375" style="11" customWidth="1"/>
    <col min="3" max="3" width="5.75" style="11" customWidth="1"/>
    <col min="4" max="4" width="15.125" style="11" customWidth="1"/>
    <col min="5" max="5" width="9.625" style="11" customWidth="1"/>
    <col min="6" max="6" width="3.625" style="11" customWidth="1"/>
    <col min="7" max="9" width="9.625" style="11" customWidth="1"/>
    <col min="10" max="10" width="3.625" style="11" customWidth="1"/>
    <col min="11" max="14" width="9.625" style="11" customWidth="1"/>
    <col min="15" max="15" width="8.625" style="11" customWidth="1"/>
    <col min="16" max="16" width="2.625" style="11" customWidth="1"/>
    <col min="17" max="17" width="4.625" style="11" customWidth="1"/>
    <col min="18" max="21" width="8.625" style="11" customWidth="1"/>
    <col min="22" max="25" width="7.625" style="11" customWidth="1"/>
    <col min="26" max="26" width="2.375" style="11" customWidth="1"/>
    <col min="27" max="27" width="4.625" style="11" customWidth="1"/>
    <col min="28" max="31" width="8.625" style="11" customWidth="1"/>
    <col min="32" max="35" width="7.625" style="11" customWidth="1"/>
    <col min="36" max="16384" width="9" style="11"/>
  </cols>
  <sheetData>
    <row r="1" spans="2:35" ht="9" customHeight="1"/>
    <row r="2" spans="2:35" s="32" customFormat="1" ht="18.75">
      <c r="B2" s="33" t="str">
        <f>BkTitle1</f>
        <v>SRIMfit_dbg</v>
      </c>
      <c r="F2" s="61" t="str">
        <f>BkTitle2</f>
        <v>AddInマクロ版 : セル内の式 = srFuncName()</v>
      </c>
    </row>
    <row r="3" spans="2:35" ht="9" customHeight="1">
      <c r="O3" s="9"/>
      <c r="P3" s="9"/>
      <c r="U3" s="875" t="s">
        <v>344</v>
      </c>
      <c r="V3" s="875" t="s">
        <v>345</v>
      </c>
      <c r="W3" s="875"/>
      <c r="X3" s="875" t="s">
        <v>346</v>
      </c>
      <c r="Y3" s="25"/>
      <c r="Z3" s="25"/>
      <c r="AA3" s="25"/>
      <c r="AB3" s="25"/>
      <c r="AC3" s="25"/>
      <c r="AD3" s="25"/>
      <c r="AE3" s="875" t="s">
        <v>334</v>
      </c>
      <c r="AF3" s="875" t="s">
        <v>335</v>
      </c>
      <c r="AG3" s="875"/>
      <c r="AH3" s="875" t="s">
        <v>336</v>
      </c>
    </row>
    <row r="4" spans="2:35" ht="14.25">
      <c r="B4" s="210" t="s">
        <v>706</v>
      </c>
      <c r="G4" s="935" t="s">
        <v>37</v>
      </c>
      <c r="H4" s="9" t="s">
        <v>279</v>
      </c>
      <c r="I4" s="991"/>
      <c r="K4" s="87" t="s">
        <v>44</v>
      </c>
      <c r="M4" s="8" t="s">
        <v>173</v>
      </c>
      <c r="O4" s="9"/>
      <c r="P4" s="9"/>
      <c r="U4" s="575">
        <f>E17</f>
        <v>100</v>
      </c>
      <c r="V4" s="564">
        <f>V10</f>
        <v>0.20758604305170536</v>
      </c>
      <c r="W4" s="564"/>
      <c r="X4" s="564">
        <f>X10</f>
        <v>27.401357682825108</v>
      </c>
      <c r="Y4" s="564"/>
      <c r="AD4" s="988" t="s">
        <v>698</v>
      </c>
      <c r="AE4" s="983">
        <f>[1]!srMinE(D22)</f>
        <v>9.9999750000000008E-6</v>
      </c>
      <c r="AF4" s="873">
        <f>AF10</f>
        <v>0.20758604305170536</v>
      </c>
      <c r="AG4" s="564"/>
      <c r="AH4" s="873">
        <f>AH10</f>
        <v>27.401357682825108</v>
      </c>
      <c r="AI4" s="988"/>
    </row>
    <row r="5" spans="2:35">
      <c r="B5" s="9"/>
      <c r="C5" s="9" t="s">
        <v>250</v>
      </c>
      <c r="D5" s="9"/>
      <c r="E5" s="9"/>
      <c r="F5" s="9"/>
      <c r="G5" s="364" t="s">
        <v>284</v>
      </c>
      <c r="H5" s="9" t="s">
        <v>280</v>
      </c>
      <c r="I5" s="992"/>
      <c r="K5" s="935" t="s">
        <v>46</v>
      </c>
      <c r="M5" s="220" t="s">
        <v>266</v>
      </c>
      <c r="N5" s="235" t="s">
        <v>267</v>
      </c>
      <c r="O5" s="849"/>
      <c r="P5" s="9"/>
      <c r="Y5" s="564"/>
      <c r="Z5" s="36"/>
      <c r="AE5" s="984">
        <f>[1]!srMaxE(D22)</f>
        <v>1000</v>
      </c>
      <c r="AF5" s="874">
        <f>AF10</f>
        <v>0.20758604305170536</v>
      </c>
      <c r="AG5" s="564"/>
      <c r="AH5" s="874">
        <f>AH10</f>
        <v>27.401357682825108</v>
      </c>
      <c r="AI5" s="564"/>
    </row>
    <row r="6" spans="2:35">
      <c r="B6" s="9"/>
      <c r="C6" s="9" t="s">
        <v>286</v>
      </c>
      <c r="D6" s="9"/>
      <c r="E6" s="9"/>
      <c r="F6" s="9"/>
      <c r="G6" s="363" t="s">
        <v>679</v>
      </c>
      <c r="H6" s="9" t="s">
        <v>678</v>
      </c>
      <c r="I6" s="993"/>
      <c r="K6" s="178" t="s">
        <v>50</v>
      </c>
      <c r="L6" s="9"/>
      <c r="M6" s="241" t="s">
        <v>165</v>
      </c>
      <c r="N6" s="242" t="s">
        <v>166</v>
      </c>
      <c r="O6" s="9"/>
      <c r="P6" s="9"/>
      <c r="R6" s="258" t="s">
        <v>337</v>
      </c>
      <c r="S6" s="560" t="str">
        <f>D17</f>
        <v>srim132Xe_Air</v>
      </c>
      <c r="X6" s="568">
        <f>[1]!srInfoIonA(S6)</f>
        <v>132</v>
      </c>
      <c r="Y6" s="566"/>
      <c r="Z6" s="353"/>
      <c r="AB6" s="258" t="s">
        <v>338</v>
      </c>
      <c r="AC6" s="560" t="str">
        <f>D22</f>
        <v>srim40Ar_Air</v>
      </c>
      <c r="AH6" s="568">
        <f>[1]!srInfoIonA(AC6)</f>
        <v>40</v>
      </c>
      <c r="AI6" s="566"/>
    </row>
    <row r="7" spans="2:35">
      <c r="C7" s="9" t="s">
        <v>287</v>
      </c>
      <c r="D7" s="9"/>
      <c r="E7" s="9"/>
      <c r="F7" s="9"/>
      <c r="G7" s="594"/>
      <c r="H7" s="217"/>
      <c r="I7" s="594"/>
      <c r="K7" s="181" t="s">
        <v>51</v>
      </c>
      <c r="L7" s="90" t="s">
        <v>264</v>
      </c>
      <c r="M7" s="237">
        <f>[1]!srInfoTrgPtbl(D17)</f>
        <v>101325</v>
      </c>
      <c r="N7" s="238">
        <f>[1]!srInfoTrgTtbl(D17)</f>
        <v>20</v>
      </c>
      <c r="O7" s="9"/>
      <c r="P7" s="9"/>
      <c r="Q7" s="36"/>
      <c r="R7" s="53" t="s">
        <v>339</v>
      </c>
      <c r="S7" s="54" t="s">
        <v>340</v>
      </c>
      <c r="T7" s="54" t="s">
        <v>316</v>
      </c>
      <c r="U7" s="54" t="s">
        <v>333</v>
      </c>
      <c r="V7" s="54" t="s">
        <v>66</v>
      </c>
      <c r="W7" s="54"/>
      <c r="X7" s="533" t="s">
        <v>341</v>
      </c>
      <c r="Y7" s="501"/>
      <c r="Z7" s="353"/>
      <c r="AA7" s="36"/>
      <c r="AB7" s="53" t="s">
        <v>52</v>
      </c>
      <c r="AC7" s="54" t="s">
        <v>342</v>
      </c>
      <c r="AD7" s="54" t="s">
        <v>316</v>
      </c>
      <c r="AE7" s="54" t="s">
        <v>343</v>
      </c>
      <c r="AF7" s="54" t="s">
        <v>79</v>
      </c>
      <c r="AG7" s="54"/>
      <c r="AH7" s="533" t="s">
        <v>74</v>
      </c>
      <c r="AI7" s="501"/>
    </row>
    <row r="8" spans="2:35">
      <c r="B8" s="9" t="s">
        <v>325</v>
      </c>
      <c r="C8" s="9"/>
      <c r="D8" s="9"/>
      <c r="E8" s="9"/>
      <c r="F8" s="9"/>
      <c r="G8" s="552" t="s">
        <v>327</v>
      </c>
      <c r="H8" s="9" t="s">
        <v>328</v>
      </c>
      <c r="I8" s="994"/>
      <c r="K8" s="183" t="s">
        <v>54</v>
      </c>
      <c r="M8" s="239">
        <f>[1]!srThkStd(D17,M7,N7)</f>
        <v>1</v>
      </c>
      <c r="N8" s="240" t="s">
        <v>163</v>
      </c>
      <c r="O8" s="9"/>
      <c r="P8" s="9"/>
      <c r="Q8" s="493"/>
      <c r="R8" s="344" t="s">
        <v>25</v>
      </c>
      <c r="S8" s="345" t="s">
        <v>34</v>
      </c>
      <c r="T8" s="345" t="s">
        <v>34</v>
      </c>
      <c r="U8" s="345" t="s">
        <v>0</v>
      </c>
      <c r="V8" s="345" t="s">
        <v>0</v>
      </c>
      <c r="W8" s="345"/>
      <c r="X8" s="543" t="s">
        <v>68</v>
      </c>
      <c r="Y8" s="557"/>
      <c r="Z8" s="35"/>
      <c r="AA8" s="493"/>
      <c r="AB8" s="344" t="s">
        <v>25</v>
      </c>
      <c r="AC8" s="345" t="s">
        <v>34</v>
      </c>
      <c r="AD8" s="345" t="s">
        <v>34</v>
      </c>
      <c r="AE8" s="345" t="s">
        <v>0</v>
      </c>
      <c r="AF8" s="345" t="s">
        <v>0</v>
      </c>
      <c r="AG8" s="345"/>
      <c r="AH8" s="543" t="s">
        <v>68</v>
      </c>
      <c r="AI8" s="557"/>
    </row>
    <row r="9" spans="2:35">
      <c r="B9" s="9"/>
      <c r="C9" s="9" t="s">
        <v>326</v>
      </c>
      <c r="D9" s="9"/>
      <c r="E9" s="9"/>
      <c r="F9" s="9"/>
      <c r="G9" s="9"/>
      <c r="H9" s="217"/>
      <c r="I9" s="217"/>
      <c r="J9" s="9"/>
      <c r="K9" s="337" t="s">
        <v>57</v>
      </c>
      <c r="L9" s="90" t="s">
        <v>265</v>
      </c>
      <c r="M9" s="237">
        <f>[1]!srInfoTrgPtbl(D22)</f>
        <v>101325</v>
      </c>
      <c r="N9" s="238">
        <f>[1]!srInfoTrgTtbl(D22)</f>
        <v>20</v>
      </c>
      <c r="O9" s="9"/>
      <c r="P9" s="9"/>
      <c r="Q9" s="561" t="s">
        <v>331</v>
      </c>
      <c r="R9" s="563">
        <f>[1]!srIxEmin(S$6)</f>
        <v>20</v>
      </c>
      <c r="S9" s="87"/>
      <c r="T9" s="57" t="s">
        <v>329</v>
      </c>
      <c r="U9" s="87"/>
      <c r="V9" s="569" t="s">
        <v>314</v>
      </c>
      <c r="W9" s="571"/>
      <c r="X9" s="533" t="s">
        <v>315</v>
      </c>
      <c r="Y9" s="501"/>
      <c r="Z9" s="35"/>
      <c r="AA9" s="565" t="s">
        <v>331</v>
      </c>
      <c r="AB9" s="563">
        <f>[1]!srIxEmin(AC$6)</f>
        <v>20</v>
      </c>
      <c r="AC9" s="87"/>
      <c r="AD9" s="91" t="s">
        <v>329</v>
      </c>
      <c r="AE9" s="87"/>
      <c r="AF9" s="569" t="s">
        <v>314</v>
      </c>
      <c r="AG9" s="571"/>
      <c r="AH9" s="533" t="s">
        <v>315</v>
      </c>
      <c r="AI9" s="501"/>
    </row>
    <row r="10" spans="2:35" ht="14.25">
      <c r="B10" s="9"/>
      <c r="C10" s="185"/>
      <c r="D10" s="334" t="s">
        <v>708</v>
      </c>
      <c r="E10" s="201"/>
      <c r="F10" s="169"/>
      <c r="G10" s="595" t="s">
        <v>709</v>
      </c>
      <c r="H10" s="207"/>
      <c r="I10" s="207"/>
      <c r="J10" s="169"/>
      <c r="K10" s="169"/>
      <c r="M10" s="239">
        <f>[1]!srThkStd(D22,M9,N9)</f>
        <v>1</v>
      </c>
      <c r="N10" s="240"/>
      <c r="Q10" s="71" t="s">
        <v>330</v>
      </c>
      <c r="R10" s="562">
        <f>[1]!srIxEmax(S6)</f>
        <v>228</v>
      </c>
      <c r="S10" s="500"/>
      <c r="T10" s="1002">
        <f>G17*1000*I13</f>
        <v>12878.638110928061</v>
      </c>
      <c r="U10" s="500"/>
      <c r="V10" s="570">
        <f>M17</f>
        <v>0.20758604305170536</v>
      </c>
      <c r="W10" s="567" t="s">
        <v>332</v>
      </c>
      <c r="X10" s="574">
        <f>N17</f>
        <v>27.401357682825108</v>
      </c>
      <c r="Y10" s="567" t="s">
        <v>332</v>
      </c>
      <c r="Z10" s="35"/>
      <c r="AA10" s="71" t="s">
        <v>330</v>
      </c>
      <c r="AB10" s="562">
        <f>[1]!srIxEmax(AC6)</f>
        <v>228</v>
      </c>
      <c r="AC10" s="500"/>
      <c r="AD10" s="1002">
        <f>G17*1000*I19</f>
        <v>9427.3080530617717</v>
      </c>
      <c r="AE10" s="500"/>
      <c r="AF10" s="570">
        <f>M17</f>
        <v>0.20758604305170536</v>
      </c>
      <c r="AG10" s="567" t="s">
        <v>332</v>
      </c>
      <c r="AH10" s="574">
        <f>N17</f>
        <v>27.401357682825108</v>
      </c>
      <c r="AI10" s="567" t="s">
        <v>332</v>
      </c>
    </row>
    <row r="11" spans="2:35" ht="14.25" thickBot="1">
      <c r="B11" s="9"/>
      <c r="C11" s="9"/>
      <c r="D11" s="170"/>
      <c r="E11" s="169"/>
      <c r="F11" s="9"/>
      <c r="G11" s="973">
        <f>[1]!srE2Rng(D17,E17)/1000</f>
        <v>3784</v>
      </c>
      <c r="H11" s="995"/>
      <c r="I11" s="995"/>
      <c r="J11" s="169"/>
      <c r="K11" s="169"/>
      <c r="L11" s="169"/>
      <c r="M11" s="9"/>
      <c r="N11" s="151"/>
      <c r="O11" s="9"/>
      <c r="P11" s="9"/>
      <c r="Q11" s="71">
        <f>R9</f>
        <v>20</v>
      </c>
      <c r="R11" s="556">
        <f>[1]!srIx2Val(S$6,Q11,1)</f>
        <v>1.0606060606060606E-5</v>
      </c>
      <c r="S11" s="1001">
        <f>[1]!srIx2Val(S$6,Q11,5)</f>
        <v>7.76</v>
      </c>
      <c r="T11" s="1001">
        <f>S11-T$10</f>
        <v>-12870.878110928061</v>
      </c>
      <c r="U11" s="465">
        <f>IF(T11&lt;=0,0,[1]!srRng2E(S$6,T11))</f>
        <v>0</v>
      </c>
      <c r="V11" s="482" t="e">
        <f>IF((T11&lt;=0),NA(),R11-U11)</f>
        <v>#N/A</v>
      </c>
      <c r="W11" s="466">
        <f>IF((T11&lt;=0),R11-U11,NA())</f>
        <v>1.0606060606060606E-5</v>
      </c>
      <c r="X11" s="466" t="e">
        <f>IF((T11&lt;0),NA(),V11*X$6)</f>
        <v>#N/A</v>
      </c>
      <c r="Y11" s="466">
        <f>IF((T11&lt;0),W11*X$6,NA())</f>
        <v>1.4E-3</v>
      </c>
      <c r="Z11" s="35"/>
      <c r="AA11" s="71">
        <f>AB9</f>
        <v>20</v>
      </c>
      <c r="AB11" s="556">
        <f>[1]!srIx2Val(AC$6,AA11,1)</f>
        <v>9.9999750000000008E-6</v>
      </c>
      <c r="AC11" s="1001">
        <f>[1]!srIx2Val(AC$6,AA11,5)</f>
        <v>3.28</v>
      </c>
      <c r="AD11" s="1001">
        <f>AC11-AD$10</f>
        <v>-9424.0280530617711</v>
      </c>
      <c r="AE11" s="465">
        <f>IF(AD11&lt;=0,0,[1]!srRng2E(AC$6,AD11))</f>
        <v>0</v>
      </c>
      <c r="AF11" s="466" t="e">
        <f>IF((AD11&lt;=0),NA(),AB11-AE11)</f>
        <v>#N/A</v>
      </c>
      <c r="AG11" s="466">
        <f>IF((AD11&lt;=0),AB11-AE11,NA())</f>
        <v>9.9999750000000008E-6</v>
      </c>
      <c r="AH11" s="466" t="e">
        <f>IF((AD11&lt;0),NA(),AF11*AH$6)</f>
        <v>#N/A</v>
      </c>
      <c r="AI11" s="466">
        <f>IF((AD11&lt;0),AG11*AH$6,NA())</f>
        <v>3.9999900000000006E-4</v>
      </c>
    </row>
    <row r="12" spans="2:35" s="9" customFormat="1" ht="12">
      <c r="C12" s="598" t="s">
        <v>710</v>
      </c>
      <c r="D12" s="400"/>
      <c r="E12" s="584" t="s">
        <v>352</v>
      </c>
      <c r="F12" s="378"/>
      <c r="G12" s="584"/>
      <c r="H12" s="590"/>
      <c r="I12" s="590"/>
      <c r="J12" s="401"/>
      <c r="K12" s="592" t="s">
        <v>356</v>
      </c>
      <c r="L12" s="402"/>
      <c r="M12" s="907" t="s">
        <v>635</v>
      </c>
      <c r="N12" s="479" t="s">
        <v>648</v>
      </c>
      <c r="Q12" s="35">
        <f>Q11+1</f>
        <v>21</v>
      </c>
      <c r="R12" s="556">
        <f>[1]!srIx2Val(S$6,Q12,1)</f>
        <v>1.1363636363636365E-5</v>
      </c>
      <c r="S12" s="1001">
        <f>[1]!srIx2Val(S$6,Q12,5)</f>
        <v>8</v>
      </c>
      <c r="T12" s="1001">
        <f t="shared" ref="T12:T74" si="0">S12-T$10</f>
        <v>-12870.638110928061</v>
      </c>
      <c r="U12" s="465">
        <f>IF(T12&lt;=0,0,[1]!srRng2E(S$6,T12))</f>
        <v>0</v>
      </c>
      <c r="V12" s="482" t="e">
        <f t="shared" ref="V12:V75" si="1">IF((T12&lt;=0),NA(),R12-U12)</f>
        <v>#N/A</v>
      </c>
      <c r="W12" s="466">
        <f t="shared" ref="W12:W75" si="2">IF((T12&lt;=0),R12-U12,NA())</f>
        <v>1.1363636363636365E-5</v>
      </c>
      <c r="X12" s="466" t="e">
        <f t="shared" ref="X12:X75" si="3">IF((T12&lt;0),NA(),V12*X$6)</f>
        <v>#N/A</v>
      </c>
      <c r="Y12" s="466">
        <f t="shared" ref="Y12:Y75" si="4">IF((T12&lt;0),W12*X$6,NA())</f>
        <v>1.5E-3</v>
      </c>
      <c r="Z12" s="35"/>
      <c r="AA12" s="35">
        <f t="shared" ref="AA12:AA75" si="5">AA11+1</f>
        <v>21</v>
      </c>
      <c r="AB12" s="556">
        <f>[1]!srIx2Val(AC$6,AA12,1)</f>
        <v>1.1249975000000001E-5</v>
      </c>
      <c r="AC12" s="1001">
        <f>[1]!srIx2Val(AC$6,AA12,5)</f>
        <v>3.48</v>
      </c>
      <c r="AD12" s="1001">
        <f t="shared" ref="AD12:AD75" si="6">AC12-AD$10</f>
        <v>-9423.8280530617722</v>
      </c>
      <c r="AE12" s="465">
        <f>IF(AD12&lt;=0,0,[1]!srRng2E(AC$6,AD12))</f>
        <v>0</v>
      </c>
      <c r="AF12" s="466" t="e">
        <f t="shared" ref="AF12:AF75" si="7">IF((AD12&lt;=0),NA(),AB12-AE12)</f>
        <v>#N/A</v>
      </c>
      <c r="AG12" s="466">
        <f t="shared" ref="AG12:AG75" si="8">IF((AD12&lt;=0),AB12-AE12,NA())</f>
        <v>1.1249975000000001E-5</v>
      </c>
      <c r="AH12" s="466" t="e">
        <f t="shared" ref="AH12:AH75" si="9">IF((AD12&lt;0),NA(),AF12*AH$6)</f>
        <v>#N/A</v>
      </c>
      <c r="AI12" s="466">
        <f t="shared" ref="AI12:AI75" si="10">IF((AD12&lt;0),AG12*AH$6,NA())</f>
        <v>4.4999900000000003E-4</v>
      </c>
    </row>
    <row r="13" spans="2:35" s="9" customFormat="1" ht="12">
      <c r="C13" s="1000">
        <f>[1]!srMaxLETt(D17,3)</f>
        <v>9.3884401440000005</v>
      </c>
      <c r="D13" s="589">
        <f>[1]!srMaxLETt2E(D17)</f>
        <v>3.4090909090909092</v>
      </c>
      <c r="E13" s="593">
        <f>[1]!srRng2E(D17,G17*1000)</f>
        <v>0.19746646795827125</v>
      </c>
      <c r="F13" s="371"/>
      <c r="G13" s="576">
        <f>G17</f>
        <v>12</v>
      </c>
      <c r="H13" s="1004" t="s">
        <v>712</v>
      </c>
      <c r="I13" s="1003">
        <f>[1]!srThkStd(D17,H17,I17)</f>
        <v>1.0732198425773385</v>
      </c>
      <c r="J13" s="591" t="s">
        <v>233</v>
      </c>
      <c r="K13" s="118">
        <f>[1]!srEnew(D17,E13,G13)</f>
        <v>0.19709388971684053</v>
      </c>
      <c r="L13" s="202">
        <f>K13*F14</f>
        <v>26.016393442622949</v>
      </c>
      <c r="M13" s="373">
        <f>N13/F14</f>
        <v>3.7257824143072105E-4</v>
      </c>
      <c r="N13" s="385">
        <f>(E13-K13)*F14</f>
        <v>4.9180327868855178E-2</v>
      </c>
      <c r="Q13" s="35">
        <f t="shared" ref="Q13:Q76" si="11">Q12+1</f>
        <v>22</v>
      </c>
      <c r="R13" s="556">
        <f>[1]!srIx2Val(S$6,Q13,1)</f>
        <v>1.2121212121212122E-5</v>
      </c>
      <c r="S13" s="1001">
        <f>[1]!srIx2Val(S$6,Q13,5)</f>
        <v>8.24</v>
      </c>
      <c r="T13" s="1001">
        <f t="shared" si="0"/>
        <v>-12870.398110928061</v>
      </c>
      <c r="U13" s="465">
        <f>IF(T13&lt;=0,0,[1]!srRng2E(S$6,T13))</f>
        <v>0</v>
      </c>
      <c r="V13" s="482" t="e">
        <f t="shared" si="1"/>
        <v>#N/A</v>
      </c>
      <c r="W13" s="466">
        <f t="shared" si="2"/>
        <v>1.2121212121212122E-5</v>
      </c>
      <c r="X13" s="466" t="e">
        <f t="shared" si="3"/>
        <v>#N/A</v>
      </c>
      <c r="Y13" s="466">
        <f t="shared" si="4"/>
        <v>1.6000000000000001E-3</v>
      </c>
      <c r="Z13" s="35"/>
      <c r="AA13" s="35">
        <f t="shared" si="5"/>
        <v>22</v>
      </c>
      <c r="AB13" s="556">
        <f>[1]!srIx2Val(AC$6,AA13,1)</f>
        <v>1.2499975000000001E-5</v>
      </c>
      <c r="AC13" s="1001">
        <f>[1]!srIx2Val(AC$6,AA13,5)</f>
        <v>3.68</v>
      </c>
      <c r="AD13" s="1001">
        <f t="shared" si="6"/>
        <v>-9423.6280530617714</v>
      </c>
      <c r="AE13" s="465">
        <f>IF(AD13&lt;=0,0,[1]!srRng2E(AC$6,AD13))</f>
        <v>0</v>
      </c>
      <c r="AF13" s="466" t="e">
        <f t="shared" si="7"/>
        <v>#N/A</v>
      </c>
      <c r="AG13" s="466">
        <f t="shared" si="8"/>
        <v>1.2499975000000001E-5</v>
      </c>
      <c r="AH13" s="466" t="e">
        <f t="shared" si="9"/>
        <v>#N/A</v>
      </c>
      <c r="AI13" s="466">
        <f t="shared" si="10"/>
        <v>4.9999899999999999E-4</v>
      </c>
    </row>
    <row r="14" spans="2:35">
      <c r="B14" s="9"/>
      <c r="C14" s="386"/>
      <c r="D14" s="112"/>
      <c r="E14" s="367" t="str">
        <f>[1]!srElmNm([1]!srInfoIonZ(D17))&amp;"-"</f>
        <v>Xe-</v>
      </c>
      <c r="F14" s="172">
        <f>[1]!srInfoIonA(D17)</f>
        <v>132</v>
      </c>
      <c r="G14" s="186" t="str">
        <f>[1]!srInfoTrgName(D17)</f>
        <v>Air</v>
      </c>
      <c r="H14" s="359" t="s">
        <v>161</v>
      </c>
      <c r="I14" s="233" t="b">
        <f>[1]!srInfoTgIsGas(D17)</f>
        <v>1</v>
      </c>
      <c r="J14" s="187"/>
      <c r="K14" s="362" t="str">
        <f>IF((K17&lt;=0),"Stopped","")</f>
        <v/>
      </c>
      <c r="L14" s="595"/>
      <c r="M14" s="893"/>
      <c r="N14" s="891"/>
      <c r="O14" s="9"/>
      <c r="P14" s="9"/>
      <c r="Q14" s="35">
        <f t="shared" si="11"/>
        <v>23</v>
      </c>
      <c r="R14" s="556">
        <f>[1]!srIx2Val(S$6,Q14,1)</f>
        <v>1.2878787878787878E-5</v>
      </c>
      <c r="S14" s="1001">
        <f>[1]!srIx2Val(S$6,Q14,5)</f>
        <v>8.4600000000000009</v>
      </c>
      <c r="T14" s="1001">
        <f t="shared" si="0"/>
        <v>-12870.178110928062</v>
      </c>
      <c r="U14" s="465">
        <f>IF(T14&lt;=0,0,[1]!srRng2E(S$6,T14))</f>
        <v>0</v>
      </c>
      <c r="V14" s="482" t="e">
        <f t="shared" si="1"/>
        <v>#N/A</v>
      </c>
      <c r="W14" s="466">
        <f t="shared" si="2"/>
        <v>1.2878787878787878E-5</v>
      </c>
      <c r="X14" s="466" t="e">
        <f t="shared" si="3"/>
        <v>#N/A</v>
      </c>
      <c r="Y14" s="466">
        <f t="shared" si="4"/>
        <v>1.6999999999999999E-3</v>
      </c>
      <c r="Z14" s="35"/>
      <c r="AA14" s="35">
        <f t="shared" si="5"/>
        <v>23</v>
      </c>
      <c r="AB14" s="556">
        <f>[1]!srIx2Val(AC$6,AA14,1)</f>
        <v>1.3749975E-5</v>
      </c>
      <c r="AC14" s="1001">
        <f>[1]!srIx2Val(AC$6,AA14,5)</f>
        <v>3.87</v>
      </c>
      <c r="AD14" s="1001">
        <f t="shared" si="6"/>
        <v>-9423.4380530617709</v>
      </c>
      <c r="AE14" s="465">
        <f>IF(AD14&lt;=0,0,[1]!srRng2E(AC$6,AD14))</f>
        <v>0</v>
      </c>
      <c r="AF14" s="466" t="e">
        <f t="shared" si="7"/>
        <v>#N/A</v>
      </c>
      <c r="AG14" s="466">
        <f t="shared" si="8"/>
        <v>1.3749975E-5</v>
      </c>
      <c r="AH14" s="466" t="e">
        <f t="shared" si="9"/>
        <v>#N/A</v>
      </c>
      <c r="AI14" s="466">
        <f t="shared" si="10"/>
        <v>5.4999900000000002E-4</v>
      </c>
    </row>
    <row r="15" spans="2:35">
      <c r="B15" s="9"/>
      <c r="C15" s="388"/>
      <c r="D15" s="360" t="s">
        <v>277</v>
      </c>
      <c r="E15" s="368" t="s">
        <v>42</v>
      </c>
      <c r="F15" s="169"/>
      <c r="G15" s="489" t="s">
        <v>63</v>
      </c>
      <c r="H15" s="189" t="s">
        <v>97</v>
      </c>
      <c r="I15" s="189" t="s">
        <v>98</v>
      </c>
      <c r="J15" s="169"/>
      <c r="K15" s="190" t="s">
        <v>64</v>
      </c>
      <c r="L15" s="91" t="s">
        <v>65</v>
      </c>
      <c r="M15" s="91" t="s">
        <v>66</v>
      </c>
      <c r="N15" s="892" t="s">
        <v>67</v>
      </c>
      <c r="O15" s="9"/>
      <c r="P15" s="9"/>
      <c r="Q15" s="35">
        <f t="shared" si="11"/>
        <v>24</v>
      </c>
      <c r="R15" s="556">
        <f>[1]!srIx2Val(S$6,Q15,1)</f>
        <v>1.3636363636363637E-5</v>
      </c>
      <c r="S15" s="1001">
        <f>[1]!srIx2Val(S$6,Q15,5)</f>
        <v>8.68</v>
      </c>
      <c r="T15" s="1001">
        <f t="shared" si="0"/>
        <v>-12869.958110928061</v>
      </c>
      <c r="U15" s="465">
        <f>IF(T15&lt;=0,0,[1]!srRng2E(S$6,T15))</f>
        <v>0</v>
      </c>
      <c r="V15" s="482" t="e">
        <f t="shared" si="1"/>
        <v>#N/A</v>
      </c>
      <c r="W15" s="466">
        <f t="shared" si="2"/>
        <v>1.3636363636363637E-5</v>
      </c>
      <c r="X15" s="466" t="e">
        <f t="shared" si="3"/>
        <v>#N/A</v>
      </c>
      <c r="Y15" s="466">
        <f t="shared" si="4"/>
        <v>1.8E-3</v>
      </c>
      <c r="Z15" s="35"/>
      <c r="AA15" s="35">
        <f t="shared" si="5"/>
        <v>24</v>
      </c>
      <c r="AB15" s="556">
        <f>[1]!srIx2Val(AC$6,AA15,1)</f>
        <v>1.4999975E-5</v>
      </c>
      <c r="AC15" s="1001">
        <f>[1]!srIx2Val(AC$6,AA15,5)</f>
        <v>4.05</v>
      </c>
      <c r="AD15" s="1001">
        <f t="shared" si="6"/>
        <v>-9423.2580530617724</v>
      </c>
      <c r="AE15" s="465">
        <f>IF(AD15&lt;=0,0,[1]!srRng2E(AC$6,AD15))</f>
        <v>0</v>
      </c>
      <c r="AF15" s="466" t="e">
        <f t="shared" si="7"/>
        <v>#N/A</v>
      </c>
      <c r="AG15" s="466">
        <f t="shared" si="8"/>
        <v>1.4999975E-5</v>
      </c>
      <c r="AH15" s="466" t="e">
        <f t="shared" si="9"/>
        <v>#N/A</v>
      </c>
      <c r="AI15" s="466">
        <f t="shared" si="10"/>
        <v>5.9999900000000004E-4</v>
      </c>
    </row>
    <row r="16" spans="2:35">
      <c r="B16" s="9"/>
      <c r="C16" s="388"/>
      <c r="D16" s="356">
        <f>E17*F14</f>
        <v>13200</v>
      </c>
      <c r="E16" s="368" t="s">
        <v>0</v>
      </c>
      <c r="F16" s="169"/>
      <c r="G16" s="358" t="s">
        <v>100</v>
      </c>
      <c r="H16" s="189" t="s">
        <v>101</v>
      </c>
      <c r="I16" s="189" t="s">
        <v>102</v>
      </c>
      <c r="J16" s="169"/>
      <c r="K16" s="190" t="s">
        <v>0</v>
      </c>
      <c r="L16" s="91" t="s">
        <v>68</v>
      </c>
      <c r="M16" s="91" t="s">
        <v>0</v>
      </c>
      <c r="N16" s="892" t="s">
        <v>68</v>
      </c>
      <c r="O16" s="9"/>
      <c r="P16" s="9"/>
      <c r="Q16" s="35">
        <f t="shared" si="11"/>
        <v>25</v>
      </c>
      <c r="R16" s="556">
        <f>[1]!srIx2Val(S$6,Q16,1)</f>
        <v>1.5151515151515151E-5</v>
      </c>
      <c r="S16" s="1001">
        <f>[1]!srIx2Val(S$6,Q16,5)</f>
        <v>9.11</v>
      </c>
      <c r="T16" s="1001">
        <f t="shared" si="0"/>
        <v>-12869.52811092806</v>
      </c>
      <c r="U16" s="465">
        <f>IF(T16&lt;=0,0,[1]!srRng2E(S$6,T16))</f>
        <v>0</v>
      </c>
      <c r="V16" s="482" t="e">
        <f t="shared" si="1"/>
        <v>#N/A</v>
      </c>
      <c r="W16" s="466">
        <f t="shared" si="2"/>
        <v>1.5151515151515151E-5</v>
      </c>
      <c r="X16" s="466" t="e">
        <f t="shared" si="3"/>
        <v>#N/A</v>
      </c>
      <c r="Y16" s="466">
        <f t="shared" si="4"/>
        <v>2E-3</v>
      </c>
      <c r="Z16" s="36"/>
      <c r="AA16" s="35">
        <f t="shared" si="5"/>
        <v>25</v>
      </c>
      <c r="AB16" s="556">
        <f>[1]!srIx2Val(AC$6,AA16,1)</f>
        <v>1.6249975E-5</v>
      </c>
      <c r="AC16" s="1001">
        <f>[1]!srIx2Val(AC$6,AA16,5)</f>
        <v>4.2300000000000004</v>
      </c>
      <c r="AD16" s="1001">
        <f t="shared" si="6"/>
        <v>-9423.0780530617722</v>
      </c>
      <c r="AE16" s="465">
        <f>IF(AD16&lt;=0,0,[1]!srRng2E(AC$6,AD16))</f>
        <v>0</v>
      </c>
      <c r="AF16" s="466" t="e">
        <f t="shared" si="7"/>
        <v>#N/A</v>
      </c>
      <c r="AG16" s="466">
        <f t="shared" si="8"/>
        <v>1.6249975E-5</v>
      </c>
      <c r="AH16" s="466" t="e">
        <f t="shared" si="9"/>
        <v>#N/A</v>
      </c>
      <c r="AI16" s="466">
        <f t="shared" si="10"/>
        <v>6.4999900000000006E-4</v>
      </c>
    </row>
    <row r="17" spans="2:35" ht="14.25" thickBot="1">
      <c r="B17" s="9"/>
      <c r="C17" s="579" t="s">
        <v>47</v>
      </c>
      <c r="D17" s="895" t="s">
        <v>711</v>
      </c>
      <c r="E17" s="933">
        <v>100</v>
      </c>
      <c r="F17" s="177" t="s">
        <v>49</v>
      </c>
      <c r="G17" s="934">
        <v>12</v>
      </c>
      <c r="H17" s="996">
        <v>101325</v>
      </c>
      <c r="I17" s="996">
        <v>0</v>
      </c>
      <c r="J17" s="177" t="s">
        <v>49</v>
      </c>
      <c r="K17" s="499">
        <f>[1]!srEnewGas(D17,E17,G17,H17,I17)</f>
        <v>99.792413956948295</v>
      </c>
      <c r="L17" s="890">
        <f>K17*F14</f>
        <v>13172.598642317174</v>
      </c>
      <c r="M17" s="915">
        <f>E17-K17</f>
        <v>0.20758604305170536</v>
      </c>
      <c r="N17" s="982">
        <f>M17*F14</f>
        <v>27.401357682825108</v>
      </c>
      <c r="O17" s="9"/>
      <c r="Q17" s="35">
        <f t="shared" si="11"/>
        <v>26</v>
      </c>
      <c r="R17" s="556">
        <f>[1]!srIx2Val(S$6,Q17,1)</f>
        <v>1.7045454545454543E-5</v>
      </c>
      <c r="S17" s="1001">
        <f>[1]!srIx2Val(S$6,Q17,5)</f>
        <v>9.6199999999999992</v>
      </c>
      <c r="T17" s="1001">
        <f t="shared" si="0"/>
        <v>-12869.01811092806</v>
      </c>
      <c r="U17" s="465">
        <f>IF(T17&lt;=0,0,[1]!srRng2E(S$6,T17))</f>
        <v>0</v>
      </c>
      <c r="V17" s="482" t="e">
        <f t="shared" si="1"/>
        <v>#N/A</v>
      </c>
      <c r="W17" s="466">
        <f t="shared" si="2"/>
        <v>1.7045454545454543E-5</v>
      </c>
      <c r="X17" s="466" t="e">
        <f t="shared" si="3"/>
        <v>#N/A</v>
      </c>
      <c r="Y17" s="466">
        <f t="shared" si="4"/>
        <v>2.2499999999999998E-3</v>
      </c>
      <c r="Z17" s="36"/>
      <c r="AA17" s="35">
        <f t="shared" si="5"/>
        <v>26</v>
      </c>
      <c r="AB17" s="556">
        <f>[1]!srIx2Val(AC$6,AA17,1)</f>
        <v>1.7499975E-5</v>
      </c>
      <c r="AC17" s="1001">
        <f>[1]!srIx2Val(AC$6,AA17,5)</f>
        <v>4.4000000000000004</v>
      </c>
      <c r="AD17" s="1001">
        <f t="shared" si="6"/>
        <v>-9422.9080530617721</v>
      </c>
      <c r="AE17" s="465">
        <f>IF(AD17&lt;=0,0,[1]!srRng2E(AC$6,AD17))</f>
        <v>0</v>
      </c>
      <c r="AF17" s="466" t="e">
        <f t="shared" si="7"/>
        <v>#N/A</v>
      </c>
      <c r="AG17" s="466">
        <f t="shared" si="8"/>
        <v>1.7499975E-5</v>
      </c>
      <c r="AH17" s="466" t="e">
        <f t="shared" si="9"/>
        <v>#N/A</v>
      </c>
      <c r="AI17" s="466">
        <f t="shared" si="10"/>
        <v>6.9999899999999998E-4</v>
      </c>
    </row>
    <row r="18" spans="2:35" s="70" customFormat="1">
      <c r="B18" s="217"/>
      <c r="C18" s="597" t="s">
        <v>353</v>
      </c>
      <c r="D18" s="868"/>
      <c r="E18" s="908" t="s">
        <v>651</v>
      </c>
      <c r="F18" s="378"/>
      <c r="G18" s="590"/>
      <c r="H18" s="590"/>
      <c r="I18" s="590"/>
      <c r="J18" s="381"/>
      <c r="K18" s="886" t="s">
        <v>355</v>
      </c>
      <c r="L18" s="869"/>
      <c r="M18" s="909" t="s">
        <v>649</v>
      </c>
      <c r="N18" s="910" t="s">
        <v>650</v>
      </c>
      <c r="O18" s="35"/>
      <c r="Q18" s="35">
        <f t="shared" si="11"/>
        <v>27</v>
      </c>
      <c r="R18" s="556">
        <f>[1]!srIx2Val(S$6,Q18,1)</f>
        <v>1.8939393939393939E-5</v>
      </c>
      <c r="S18" s="1001">
        <f>[1]!srIx2Val(S$6,Q18,5)</f>
        <v>10.1</v>
      </c>
      <c r="T18" s="1001">
        <f t="shared" si="0"/>
        <v>-12868.538110928061</v>
      </c>
      <c r="U18" s="465">
        <f>IF(T18&lt;=0,0,[1]!srRng2E(S$6,T18))</f>
        <v>0</v>
      </c>
      <c r="V18" s="482" t="e">
        <f t="shared" si="1"/>
        <v>#N/A</v>
      </c>
      <c r="W18" s="466">
        <f t="shared" si="2"/>
        <v>1.8939393939393939E-5</v>
      </c>
      <c r="X18" s="466" t="e">
        <f t="shared" si="3"/>
        <v>#N/A</v>
      </c>
      <c r="Y18" s="466">
        <f t="shared" si="4"/>
        <v>2.5000000000000001E-3</v>
      </c>
      <c r="Z18" s="36"/>
      <c r="AA18" s="35">
        <f t="shared" si="5"/>
        <v>27</v>
      </c>
      <c r="AB18" s="556">
        <f>[1]!srIx2Val(AC$6,AA18,1)</f>
        <v>1.9999975E-5</v>
      </c>
      <c r="AC18" s="1001">
        <f>[1]!srIx2Val(AC$6,AA18,5)</f>
        <v>4.7300000000000004</v>
      </c>
      <c r="AD18" s="1001">
        <f t="shared" si="6"/>
        <v>-9422.5780530617722</v>
      </c>
      <c r="AE18" s="465">
        <f>IF(AD18&lt;=0,0,[1]!srRng2E(AC$6,AD18))</f>
        <v>0</v>
      </c>
      <c r="AF18" s="466" t="e">
        <f t="shared" si="7"/>
        <v>#N/A</v>
      </c>
      <c r="AG18" s="466">
        <f t="shared" si="8"/>
        <v>1.9999975E-5</v>
      </c>
      <c r="AH18" s="466" t="e">
        <f t="shared" si="9"/>
        <v>#N/A</v>
      </c>
      <c r="AI18" s="466">
        <f t="shared" si="10"/>
        <v>7.9999900000000002E-4</v>
      </c>
    </row>
    <row r="19" spans="2:35" s="70" customFormat="1">
      <c r="B19" s="217"/>
      <c r="C19" s="866">
        <f>[1]!srMaxLETt(D22,2)/1000</f>
        <v>3.0286599743999999E-3</v>
      </c>
      <c r="D19" s="885">
        <f>[1]!srMaxLETt2E(D22)</f>
        <v>0.6875</v>
      </c>
      <c r="E19" s="939">
        <f>[1]!srRng2E(D22,G22)</f>
        <v>9.3402777777777782E-5</v>
      </c>
      <c r="F19" s="461"/>
      <c r="G19" s="668">
        <f>G22</f>
        <v>12</v>
      </c>
      <c r="H19" s="1005" t="s">
        <v>713</v>
      </c>
      <c r="I19" s="1006">
        <f>[1]!srThkStd(D22,H22,I22)</f>
        <v>0.78560900442181425</v>
      </c>
      <c r="J19" s="867" t="s">
        <v>233</v>
      </c>
      <c r="K19" s="858">
        <f>[1]!srEnew(D22,E19,G19)</f>
        <v>0</v>
      </c>
      <c r="L19" s="876">
        <f>K19*F20</f>
        <v>0</v>
      </c>
      <c r="M19" s="981">
        <f>N19/F20</f>
        <v>9.3402777777777782E-5</v>
      </c>
      <c r="N19" s="980">
        <f>(E19-K19)*F20</f>
        <v>3.7361111111111111E-3</v>
      </c>
      <c r="O19" s="35"/>
      <c r="P19" s="217"/>
      <c r="Q19" s="35">
        <f t="shared" si="11"/>
        <v>28</v>
      </c>
      <c r="R19" s="556">
        <f>[1]!srIx2Val(S$6,Q19,1)</f>
        <v>2.0833333333333333E-5</v>
      </c>
      <c r="S19" s="1001">
        <f>[1]!srIx2Val(S$6,Q19,5)</f>
        <v>10.56</v>
      </c>
      <c r="T19" s="1001">
        <f t="shared" si="0"/>
        <v>-12868.078110928062</v>
      </c>
      <c r="U19" s="465">
        <f>IF(T19&lt;=0,0,[1]!srRng2E(S$6,T19))</f>
        <v>0</v>
      </c>
      <c r="V19" s="482" t="e">
        <f t="shared" si="1"/>
        <v>#N/A</v>
      </c>
      <c r="W19" s="466">
        <f t="shared" si="2"/>
        <v>2.0833333333333333E-5</v>
      </c>
      <c r="X19" s="466" t="e">
        <f t="shared" si="3"/>
        <v>#N/A</v>
      </c>
      <c r="Y19" s="466">
        <f t="shared" si="4"/>
        <v>2.7499999999999998E-3</v>
      </c>
      <c r="Z19" s="36"/>
      <c r="AA19" s="35">
        <f t="shared" si="5"/>
        <v>28</v>
      </c>
      <c r="AB19" s="556">
        <f>[1]!srIx2Val(AC$6,AA19,1)</f>
        <v>2.2499975000000003E-5</v>
      </c>
      <c r="AC19" s="1001">
        <f>[1]!srIx2Val(AC$6,AA19,5)</f>
        <v>5.05</v>
      </c>
      <c r="AD19" s="1001">
        <f t="shared" si="6"/>
        <v>-9422.2580530617724</v>
      </c>
      <c r="AE19" s="465">
        <f>IF(AD19&lt;=0,0,[1]!srRng2E(AC$6,AD19))</f>
        <v>0</v>
      </c>
      <c r="AF19" s="466" t="e">
        <f t="shared" si="7"/>
        <v>#N/A</v>
      </c>
      <c r="AG19" s="466">
        <f t="shared" si="8"/>
        <v>2.2499975000000003E-5</v>
      </c>
      <c r="AH19" s="466" t="e">
        <f t="shared" si="9"/>
        <v>#N/A</v>
      </c>
      <c r="AI19" s="466">
        <f t="shared" si="10"/>
        <v>8.9999900000000007E-4</v>
      </c>
    </row>
    <row r="20" spans="2:35">
      <c r="B20" s="9"/>
      <c r="C20" s="388"/>
      <c r="D20" s="360" t="s">
        <v>278</v>
      </c>
      <c r="E20" s="887" t="str">
        <f>[1]!srElmNm([1]!srInfoIonZ(D22))&amp;"-"</f>
        <v>Ar-</v>
      </c>
      <c r="F20" s="180">
        <f>[1]!srInfoIonA(D22)</f>
        <v>40</v>
      </c>
      <c r="G20" s="459" t="str">
        <f>[1]!srInfoTrgName(D22)</f>
        <v>Air</v>
      </c>
      <c r="H20" s="997" t="s">
        <v>161</v>
      </c>
      <c r="I20" s="998" t="b">
        <f>[1]!srInfoTgIsGas(D22)</f>
        <v>1</v>
      </c>
      <c r="J20" s="169"/>
      <c r="K20" s="523"/>
      <c r="L20" s="876"/>
      <c r="M20" s="121"/>
      <c r="N20" s="877"/>
      <c r="O20" s="977" t="s">
        <v>676</v>
      </c>
      <c r="P20" s="9"/>
      <c r="Q20" s="35">
        <f t="shared" si="11"/>
        <v>29</v>
      </c>
      <c r="R20" s="556">
        <f>[1]!srIx2Val(S$6,Q20,1)</f>
        <v>2.2727272727272729E-5</v>
      </c>
      <c r="S20" s="1001">
        <f>[1]!srIx2Val(S$6,Q20,5)</f>
        <v>11.01</v>
      </c>
      <c r="T20" s="1001">
        <f t="shared" si="0"/>
        <v>-12867.628110928061</v>
      </c>
      <c r="U20" s="465">
        <f>IF(T20&lt;=0,0,[1]!srRng2E(S$6,T20))</f>
        <v>0</v>
      </c>
      <c r="V20" s="482" t="e">
        <f t="shared" si="1"/>
        <v>#N/A</v>
      </c>
      <c r="W20" s="466">
        <f t="shared" si="2"/>
        <v>2.2727272727272729E-5</v>
      </c>
      <c r="X20" s="466" t="e">
        <f t="shared" si="3"/>
        <v>#N/A</v>
      </c>
      <c r="Y20" s="466">
        <f t="shared" si="4"/>
        <v>3.0000000000000001E-3</v>
      </c>
      <c r="Z20" s="36"/>
      <c r="AA20" s="35">
        <f t="shared" si="5"/>
        <v>29</v>
      </c>
      <c r="AB20" s="556">
        <f>[1]!srIx2Val(AC$6,AA20,1)</f>
        <v>2.4999975000000003E-5</v>
      </c>
      <c r="AC20" s="1001">
        <f>[1]!srIx2Val(AC$6,AA20,5)</f>
        <v>5.35</v>
      </c>
      <c r="AD20" s="1001">
        <f t="shared" si="6"/>
        <v>-9421.9580530617714</v>
      </c>
      <c r="AE20" s="465">
        <f>IF(AD20&lt;=0,0,[1]!srRng2E(AC$6,AD20))</f>
        <v>0</v>
      </c>
      <c r="AF20" s="466" t="e">
        <f t="shared" si="7"/>
        <v>#N/A</v>
      </c>
      <c r="AG20" s="466">
        <f t="shared" si="8"/>
        <v>2.4999975000000003E-5</v>
      </c>
      <c r="AH20" s="466" t="e">
        <f t="shared" si="9"/>
        <v>#N/A</v>
      </c>
      <c r="AI20" s="466">
        <f t="shared" si="10"/>
        <v>9.9999900000000011E-4</v>
      </c>
    </row>
    <row r="21" spans="2:35">
      <c r="B21" s="9"/>
      <c r="C21" s="388"/>
      <c r="D21" s="356">
        <f>E22*F20</f>
        <v>792.93616453115374</v>
      </c>
      <c r="E21" s="888" t="s">
        <v>347</v>
      </c>
      <c r="F21" s="169"/>
      <c r="G21" s="199" t="s">
        <v>81</v>
      </c>
      <c r="H21" s="189" t="s">
        <v>97</v>
      </c>
      <c r="I21" s="189" t="s">
        <v>98</v>
      </c>
      <c r="J21" s="169"/>
      <c r="K21" s="196" t="s">
        <v>77</v>
      </c>
      <c r="L21" s="197" t="s">
        <v>72</v>
      </c>
      <c r="M21" s="200" t="s">
        <v>73</v>
      </c>
      <c r="N21" s="878" t="s">
        <v>74</v>
      </c>
      <c r="O21" s="881" t="s">
        <v>257</v>
      </c>
      <c r="P21" s="9"/>
      <c r="Q21" s="35">
        <f t="shared" si="11"/>
        <v>30</v>
      </c>
      <c r="R21" s="556">
        <f>[1]!srIx2Val(S$6,Q21,1)</f>
        <v>2.4621212121212119E-5</v>
      </c>
      <c r="S21" s="1001">
        <f>[1]!srIx2Val(S$6,Q21,5)</f>
        <v>11.44</v>
      </c>
      <c r="T21" s="1001">
        <f t="shared" si="0"/>
        <v>-12867.19811092806</v>
      </c>
      <c r="U21" s="465">
        <f>IF(T21&lt;=0,0,[1]!srRng2E(S$6,T21))</f>
        <v>0</v>
      </c>
      <c r="V21" s="482" t="e">
        <f t="shared" si="1"/>
        <v>#N/A</v>
      </c>
      <c r="W21" s="466">
        <f t="shared" si="2"/>
        <v>2.4621212121212119E-5</v>
      </c>
      <c r="X21" s="466" t="e">
        <f t="shared" si="3"/>
        <v>#N/A</v>
      </c>
      <c r="Y21" s="466">
        <f t="shared" si="4"/>
        <v>3.2499999999999999E-3</v>
      </c>
      <c r="AA21" s="35">
        <f t="shared" si="5"/>
        <v>30</v>
      </c>
      <c r="AB21" s="556">
        <f>[1]!srIx2Val(AC$6,AA21,1)</f>
        <v>2.7500000000000001E-5</v>
      </c>
      <c r="AC21" s="1001">
        <f>[1]!srIx2Val(AC$6,AA21,5)</f>
        <v>5.65</v>
      </c>
      <c r="AD21" s="1001">
        <f t="shared" si="6"/>
        <v>-9421.6580530617721</v>
      </c>
      <c r="AE21" s="465">
        <f>IF(AD21&lt;=0,0,[1]!srRng2E(AC$6,AD21))</f>
        <v>0</v>
      </c>
      <c r="AF21" s="466" t="e">
        <f t="shared" si="7"/>
        <v>#N/A</v>
      </c>
      <c r="AG21" s="466">
        <f t="shared" si="8"/>
        <v>2.7500000000000001E-5</v>
      </c>
      <c r="AH21" s="466" t="e">
        <f t="shared" si="9"/>
        <v>#N/A</v>
      </c>
      <c r="AI21" s="466">
        <f t="shared" si="10"/>
        <v>1.1000000000000001E-3</v>
      </c>
    </row>
    <row r="22" spans="2:35">
      <c r="B22" s="9"/>
      <c r="C22" s="579" t="s">
        <v>55</v>
      </c>
      <c r="D22" s="895" t="s">
        <v>95</v>
      </c>
      <c r="E22" s="596">
        <f>[1]!srDEu_eq_EoldGas(D$17,D$22,E$17,G$17,1,H17,I17,H22,I22)</f>
        <v>19.823404113278844</v>
      </c>
      <c r="F22" s="176" t="s">
        <v>49</v>
      </c>
      <c r="G22" s="576">
        <f>G$17</f>
        <v>12</v>
      </c>
      <c r="H22" s="999">
        <v>101325</v>
      </c>
      <c r="I22" s="999">
        <v>100</v>
      </c>
      <c r="J22" s="176" t="s">
        <v>49</v>
      </c>
      <c r="K22" s="129">
        <f>[1]!srEnewGas(D$22,E22,G22,H22,I22)</f>
        <v>19.616990817319358</v>
      </c>
      <c r="L22" s="578">
        <f>K22*F$20</f>
        <v>784.67963269277436</v>
      </c>
      <c r="M22" s="976">
        <f>E22-K22</f>
        <v>0.20641329595948577</v>
      </c>
      <c r="N22" s="879">
        <f>M22*F$20</f>
        <v>8.2565318383794306</v>
      </c>
      <c r="O22" s="882">
        <f>M22/M$17</f>
        <v>0.99435054941565848</v>
      </c>
      <c r="P22" s="9"/>
      <c r="Q22" s="35">
        <f t="shared" si="11"/>
        <v>31</v>
      </c>
      <c r="R22" s="556">
        <f>[1]!srIx2Val(S$6,Q22,1)</f>
        <v>2.6515151515151516E-5</v>
      </c>
      <c r="S22" s="1001">
        <f>[1]!srIx2Val(S$6,Q22,5)</f>
        <v>11.85</v>
      </c>
      <c r="T22" s="1001">
        <f t="shared" si="0"/>
        <v>-12866.788110928061</v>
      </c>
      <c r="U22" s="465">
        <f>IF(T22&lt;=0,0,[1]!srRng2E(S$6,T22))</f>
        <v>0</v>
      </c>
      <c r="V22" s="482" t="e">
        <f t="shared" si="1"/>
        <v>#N/A</v>
      </c>
      <c r="W22" s="466">
        <f t="shared" si="2"/>
        <v>2.6515151515151516E-5</v>
      </c>
      <c r="X22" s="466" t="e">
        <f t="shared" si="3"/>
        <v>#N/A</v>
      </c>
      <c r="Y22" s="466">
        <f t="shared" si="4"/>
        <v>3.5000000000000001E-3</v>
      </c>
      <c r="AA22" s="35">
        <f t="shared" si="5"/>
        <v>31</v>
      </c>
      <c r="AB22" s="556">
        <f>[1]!srIx2Val(AC$6,AA22,1)</f>
        <v>2.9999999999999997E-5</v>
      </c>
      <c r="AC22" s="1001">
        <f>[1]!srIx2Val(AC$6,AA22,5)</f>
        <v>5.94</v>
      </c>
      <c r="AD22" s="1001">
        <f t="shared" si="6"/>
        <v>-9421.3680530617712</v>
      </c>
      <c r="AE22" s="465">
        <f>IF(AD22&lt;=0,0,[1]!srRng2E(AC$6,AD22))</f>
        <v>0</v>
      </c>
      <c r="AF22" s="466" t="e">
        <f t="shared" si="7"/>
        <v>#N/A</v>
      </c>
      <c r="AG22" s="466">
        <f t="shared" si="8"/>
        <v>2.9999999999999997E-5</v>
      </c>
      <c r="AH22" s="466" t="e">
        <f t="shared" si="9"/>
        <v>#N/A</v>
      </c>
      <c r="AI22" s="466">
        <f t="shared" si="10"/>
        <v>1.1999999999999999E-3</v>
      </c>
    </row>
    <row r="23" spans="2:35">
      <c r="B23" s="9"/>
      <c r="C23" s="580"/>
      <c r="D23" s="577" t="s">
        <v>349</v>
      </c>
      <c r="E23" s="888" t="s">
        <v>348</v>
      </c>
      <c r="F23" s="169"/>
      <c r="G23" s="199" t="s">
        <v>81</v>
      </c>
      <c r="H23" s="489"/>
      <c r="I23" s="489"/>
      <c r="J23" s="169"/>
      <c r="K23" s="196" t="s">
        <v>77</v>
      </c>
      <c r="L23" s="197" t="s">
        <v>72</v>
      </c>
      <c r="M23" s="200" t="s">
        <v>73</v>
      </c>
      <c r="N23" s="878" t="s">
        <v>74</v>
      </c>
      <c r="O23" s="883" t="s">
        <v>257</v>
      </c>
      <c r="P23" s="9"/>
      <c r="Q23" s="35">
        <f t="shared" si="11"/>
        <v>32</v>
      </c>
      <c r="R23" s="556">
        <f>[1]!srIx2Val(S$6,Q23,1)</f>
        <v>2.8409090909090909E-5</v>
      </c>
      <c r="S23" s="1001">
        <f>[1]!srIx2Val(S$6,Q23,5)</f>
        <v>12.26</v>
      </c>
      <c r="T23" s="1001">
        <f t="shared" si="0"/>
        <v>-12866.378110928061</v>
      </c>
      <c r="U23" s="465">
        <f>IF(T23&lt;=0,0,[1]!srRng2E(S$6,T23))</f>
        <v>0</v>
      </c>
      <c r="V23" s="482" t="e">
        <f t="shared" si="1"/>
        <v>#N/A</v>
      </c>
      <c r="W23" s="466">
        <f t="shared" si="2"/>
        <v>2.8409090909090909E-5</v>
      </c>
      <c r="X23" s="466" t="e">
        <f t="shared" si="3"/>
        <v>#N/A</v>
      </c>
      <c r="Y23" s="466">
        <f t="shared" si="4"/>
        <v>3.7499999999999999E-3</v>
      </c>
      <c r="AA23" s="35">
        <f t="shared" si="5"/>
        <v>32</v>
      </c>
      <c r="AB23" s="556">
        <f>[1]!srIx2Val(AC$6,AA23,1)</f>
        <v>3.2499999999999997E-5</v>
      </c>
      <c r="AC23" s="1001">
        <f>[1]!srIx2Val(AC$6,AA23,5)</f>
        <v>6.22</v>
      </c>
      <c r="AD23" s="1001">
        <f t="shared" si="6"/>
        <v>-9421.0880530617724</v>
      </c>
      <c r="AE23" s="465">
        <f>IF(AD23&lt;=0,0,[1]!srRng2E(AC$6,AD23))</f>
        <v>0</v>
      </c>
      <c r="AF23" s="466" t="e">
        <f t="shared" si="7"/>
        <v>#N/A</v>
      </c>
      <c r="AG23" s="466">
        <f t="shared" si="8"/>
        <v>3.2499999999999997E-5</v>
      </c>
      <c r="AH23" s="466" t="e">
        <f t="shared" si="9"/>
        <v>#N/A</v>
      </c>
      <c r="AI23" s="466">
        <f t="shared" si="10"/>
        <v>1.2999999999999999E-3</v>
      </c>
    </row>
    <row r="24" spans="2:35">
      <c r="B24" s="9"/>
      <c r="C24" s="388"/>
      <c r="D24" s="64"/>
      <c r="E24" s="596">
        <f>[1]!srDEu_eq_EoldGas(D$17,D$22,E$17,G$17,-1,H17,I17,H22,I22)</f>
        <v>0.20758604305170536</v>
      </c>
      <c r="F24" s="176" t="s">
        <v>49</v>
      </c>
      <c r="G24" s="576">
        <f>G$17</f>
        <v>12</v>
      </c>
      <c r="H24" s="576"/>
      <c r="I24" s="576"/>
      <c r="J24" s="176" t="s">
        <v>49</v>
      </c>
      <c r="K24" s="129">
        <f>[1]!srEnewGas(D$22,E24,G24,H22,I22)</f>
        <v>0</v>
      </c>
      <c r="L24" s="578">
        <f>K24*F$20</f>
        <v>0</v>
      </c>
      <c r="M24" s="976">
        <f>E24-K24</f>
        <v>0.20758604305170536</v>
      </c>
      <c r="N24" s="879">
        <f>M24*F$20</f>
        <v>8.3034417220682144</v>
      </c>
      <c r="O24" s="882">
        <f>M24/M$17</f>
        <v>1</v>
      </c>
      <c r="P24" s="9"/>
      <c r="Q24" s="35">
        <f t="shared" si="11"/>
        <v>33</v>
      </c>
      <c r="R24" s="556">
        <f>[1]!srIx2Val(S$6,Q24,1)</f>
        <v>3.0303030303030302E-5</v>
      </c>
      <c r="S24" s="1001">
        <f>[1]!srIx2Val(S$6,Q24,5)</f>
        <v>12.65</v>
      </c>
      <c r="T24" s="1001">
        <f t="shared" si="0"/>
        <v>-12865.988110928061</v>
      </c>
      <c r="U24" s="465">
        <f>IF(T24&lt;=0,0,[1]!srRng2E(S$6,T24))</f>
        <v>0</v>
      </c>
      <c r="V24" s="482" t="e">
        <f t="shared" si="1"/>
        <v>#N/A</v>
      </c>
      <c r="W24" s="466">
        <f t="shared" si="2"/>
        <v>3.0303030303030302E-5</v>
      </c>
      <c r="X24" s="466" t="e">
        <f t="shared" si="3"/>
        <v>#N/A</v>
      </c>
      <c r="Y24" s="466">
        <f t="shared" si="4"/>
        <v>4.0000000000000001E-3</v>
      </c>
      <c r="AA24" s="35">
        <f t="shared" si="5"/>
        <v>33</v>
      </c>
      <c r="AB24" s="556">
        <f>[1]!srIx2Val(AC$6,AA24,1)</f>
        <v>3.4999999999999997E-5</v>
      </c>
      <c r="AC24" s="1001">
        <f>[1]!srIx2Val(AC$6,AA24,5)</f>
        <v>6.49</v>
      </c>
      <c r="AD24" s="1001">
        <f t="shared" si="6"/>
        <v>-9420.8180530617719</v>
      </c>
      <c r="AE24" s="465">
        <f>IF(AD24&lt;=0,0,[1]!srRng2E(AC$6,AD24))</f>
        <v>0</v>
      </c>
      <c r="AF24" s="466" t="e">
        <f t="shared" si="7"/>
        <v>#N/A</v>
      </c>
      <c r="AG24" s="466">
        <f t="shared" si="8"/>
        <v>3.4999999999999997E-5</v>
      </c>
      <c r="AH24" s="466" t="e">
        <f t="shared" si="9"/>
        <v>#N/A</v>
      </c>
      <c r="AI24" s="466">
        <f t="shared" si="10"/>
        <v>1.3999999999999998E-3</v>
      </c>
    </row>
    <row r="25" spans="2:35">
      <c r="B25" s="35"/>
      <c r="C25" s="580"/>
      <c r="D25" s="64"/>
      <c r="E25" s="888" t="s">
        <v>347</v>
      </c>
      <c r="F25" s="169"/>
      <c r="G25" s="199" t="s">
        <v>81</v>
      </c>
      <c r="H25" s="489"/>
      <c r="I25" s="489"/>
      <c r="J25" s="169"/>
      <c r="K25" s="196" t="s">
        <v>77</v>
      </c>
      <c r="L25" s="197" t="s">
        <v>72</v>
      </c>
      <c r="M25" s="197" t="s">
        <v>79</v>
      </c>
      <c r="N25" s="880" t="s">
        <v>351</v>
      </c>
      <c r="O25" s="883" t="s">
        <v>259</v>
      </c>
      <c r="P25" s="35"/>
      <c r="Q25" s="35">
        <f t="shared" si="11"/>
        <v>34</v>
      </c>
      <c r="R25" s="556">
        <f>[1]!srIx2Val(S$6,Q25,1)</f>
        <v>3.4090909090909085E-5</v>
      </c>
      <c r="S25" s="1001">
        <f>[1]!srIx2Val(S$6,Q25,5)</f>
        <v>13.41</v>
      </c>
      <c r="T25" s="1001">
        <f t="shared" si="0"/>
        <v>-12865.228110928061</v>
      </c>
      <c r="U25" s="465">
        <f>IF(T25&lt;=0,0,[1]!srRng2E(S$6,T25))</f>
        <v>0</v>
      </c>
      <c r="V25" s="482" t="e">
        <f t="shared" si="1"/>
        <v>#N/A</v>
      </c>
      <c r="W25" s="466">
        <f t="shared" si="2"/>
        <v>3.4090909090909085E-5</v>
      </c>
      <c r="X25" s="466" t="e">
        <f t="shared" si="3"/>
        <v>#N/A</v>
      </c>
      <c r="Y25" s="466">
        <f t="shared" si="4"/>
        <v>4.4999999999999997E-3</v>
      </c>
      <c r="AA25" s="35">
        <f t="shared" si="5"/>
        <v>34</v>
      </c>
      <c r="AB25" s="556">
        <f>[1]!srIx2Val(AC$6,AA25,1)</f>
        <v>3.7500000000000003E-5</v>
      </c>
      <c r="AC25" s="1001">
        <f>[1]!srIx2Val(AC$6,AA25,5)</f>
        <v>6.76</v>
      </c>
      <c r="AD25" s="1001">
        <f t="shared" si="6"/>
        <v>-9420.5480530617715</v>
      </c>
      <c r="AE25" s="465">
        <f>IF(AD25&lt;=0,0,[1]!srRng2E(AC$6,AD25))</f>
        <v>0</v>
      </c>
      <c r="AF25" s="466" t="e">
        <f t="shared" si="7"/>
        <v>#N/A</v>
      </c>
      <c r="AG25" s="466">
        <f t="shared" si="8"/>
        <v>3.7500000000000003E-5</v>
      </c>
      <c r="AH25" s="466" t="e">
        <f t="shared" si="9"/>
        <v>#N/A</v>
      </c>
      <c r="AI25" s="466">
        <f t="shared" si="10"/>
        <v>1.5E-3</v>
      </c>
    </row>
    <row r="26" spans="2:35">
      <c r="B26" s="35"/>
      <c r="C26" s="581"/>
      <c r="D26" s="577" t="s">
        <v>350</v>
      </c>
      <c r="E26" s="596">
        <f>[1]!srDEt_eq_EoldGas(D$17,D$22,E$17,G$17,1,H17,I17,H22,I22)</f>
        <v>1.4531697674717448</v>
      </c>
      <c r="F26" s="176" t="s">
        <v>49</v>
      </c>
      <c r="G26" s="576">
        <f>G$17</f>
        <v>12</v>
      </c>
      <c r="H26" s="576"/>
      <c r="I26" s="576"/>
      <c r="J26" s="176" t="s">
        <v>49</v>
      </c>
      <c r="K26" s="129">
        <f>[1]!srEnewGas(D$22,E26,G26,H22,I22)</f>
        <v>0.76788034907996139</v>
      </c>
      <c r="L26" s="578">
        <f>K26*F$20</f>
        <v>30.715213963198455</v>
      </c>
      <c r="M26" s="525">
        <f>E26-K26</f>
        <v>0.68528941839178337</v>
      </c>
      <c r="N26" s="974">
        <f>M26*F$20</f>
        <v>27.411576735671336</v>
      </c>
      <c r="O26" s="882">
        <f>N26/N$17</f>
        <v>1.0003729396537395</v>
      </c>
      <c r="P26" s="35"/>
      <c r="Q26" s="35">
        <f t="shared" si="11"/>
        <v>35</v>
      </c>
      <c r="R26" s="556">
        <f>[1]!srIx2Val(S$6,Q26,1)</f>
        <v>3.7878787878787879E-5</v>
      </c>
      <c r="S26" s="1001">
        <f>[1]!srIx2Val(S$6,Q26,5)</f>
        <v>14.13</v>
      </c>
      <c r="T26" s="1001">
        <f t="shared" si="0"/>
        <v>-12864.508110928062</v>
      </c>
      <c r="U26" s="465">
        <f>IF(T26&lt;=0,0,[1]!srRng2E(S$6,T26))</f>
        <v>0</v>
      </c>
      <c r="V26" s="482" t="e">
        <f t="shared" si="1"/>
        <v>#N/A</v>
      </c>
      <c r="W26" s="466">
        <f t="shared" si="2"/>
        <v>3.7878787878787879E-5</v>
      </c>
      <c r="X26" s="466" t="e">
        <f t="shared" si="3"/>
        <v>#N/A</v>
      </c>
      <c r="Y26" s="466">
        <f t="shared" si="4"/>
        <v>5.0000000000000001E-3</v>
      </c>
      <c r="AA26" s="35">
        <f t="shared" si="5"/>
        <v>35</v>
      </c>
      <c r="AB26" s="556">
        <f>[1]!srIx2Val(AC$6,AA26,1)</f>
        <v>4.0000000000000003E-5</v>
      </c>
      <c r="AC26" s="1001">
        <f>[1]!srIx2Val(AC$6,AA26,5)</f>
        <v>7.03</v>
      </c>
      <c r="AD26" s="1001">
        <f t="shared" si="6"/>
        <v>-9420.2780530617711</v>
      </c>
      <c r="AE26" s="465">
        <f>IF(AD26&lt;=0,0,[1]!srRng2E(AC$6,AD26))</f>
        <v>0</v>
      </c>
      <c r="AF26" s="466" t="e">
        <f t="shared" si="7"/>
        <v>#N/A</v>
      </c>
      <c r="AG26" s="466">
        <f t="shared" si="8"/>
        <v>4.0000000000000003E-5</v>
      </c>
      <c r="AH26" s="466" t="e">
        <f t="shared" si="9"/>
        <v>#N/A</v>
      </c>
      <c r="AI26" s="466">
        <f t="shared" si="10"/>
        <v>1.6000000000000001E-3</v>
      </c>
    </row>
    <row r="27" spans="2:35">
      <c r="B27" s="9"/>
      <c r="C27" s="580"/>
      <c r="D27" s="64"/>
      <c r="E27" s="888" t="s">
        <v>348</v>
      </c>
      <c r="F27" s="169"/>
      <c r="G27" s="199" t="s">
        <v>81</v>
      </c>
      <c r="H27" s="489"/>
      <c r="I27" s="489"/>
      <c r="J27" s="169"/>
      <c r="K27" s="196" t="s">
        <v>77</v>
      </c>
      <c r="L27" s="197" t="s">
        <v>72</v>
      </c>
      <c r="M27" s="197" t="s">
        <v>79</v>
      </c>
      <c r="N27" s="880" t="s">
        <v>351</v>
      </c>
      <c r="O27" s="883" t="s">
        <v>259</v>
      </c>
      <c r="P27" s="9"/>
      <c r="Q27" s="35">
        <f t="shared" si="11"/>
        <v>36</v>
      </c>
      <c r="R27" s="556">
        <f>[1]!srIx2Val(S$6,Q27,1)</f>
        <v>4.1666666666666665E-5</v>
      </c>
      <c r="S27" s="1001">
        <f>[1]!srIx2Val(S$6,Q27,5)</f>
        <v>14.83</v>
      </c>
      <c r="T27" s="1001">
        <f t="shared" si="0"/>
        <v>-12863.808110928061</v>
      </c>
      <c r="U27" s="465">
        <f>IF(T27&lt;=0,0,[1]!srRng2E(S$6,T27))</f>
        <v>0</v>
      </c>
      <c r="V27" s="482" t="e">
        <f t="shared" si="1"/>
        <v>#N/A</v>
      </c>
      <c r="W27" s="466">
        <f t="shared" si="2"/>
        <v>4.1666666666666665E-5</v>
      </c>
      <c r="X27" s="466" t="e">
        <f t="shared" si="3"/>
        <v>#N/A</v>
      </c>
      <c r="Y27" s="466">
        <f t="shared" si="4"/>
        <v>5.4999999999999997E-3</v>
      </c>
      <c r="AA27" s="35">
        <f t="shared" si="5"/>
        <v>36</v>
      </c>
      <c r="AB27" s="556">
        <f>[1]!srIx2Val(AC$6,AA27,1)</f>
        <v>4.2499999999999996E-5</v>
      </c>
      <c r="AC27" s="1001">
        <f>[1]!srIx2Val(AC$6,AA27,5)</f>
        <v>7.29</v>
      </c>
      <c r="AD27" s="1001">
        <f t="shared" si="6"/>
        <v>-9420.0180530617708</v>
      </c>
      <c r="AE27" s="465">
        <f>IF(AD27&lt;=0,0,[1]!srRng2E(AC$6,AD27))</f>
        <v>0</v>
      </c>
      <c r="AF27" s="466" t="e">
        <f t="shared" si="7"/>
        <v>#N/A</v>
      </c>
      <c r="AG27" s="466">
        <f t="shared" si="8"/>
        <v>4.2499999999999996E-5</v>
      </c>
      <c r="AH27" s="466" t="e">
        <f t="shared" si="9"/>
        <v>#N/A</v>
      </c>
      <c r="AI27" s="466">
        <f t="shared" si="10"/>
        <v>1.6999999999999999E-3</v>
      </c>
    </row>
    <row r="28" spans="2:35" ht="14.25" thickBot="1">
      <c r="B28" s="9"/>
      <c r="C28" s="582"/>
      <c r="D28" s="583"/>
      <c r="E28" s="889">
        <f>[1]!srDEt_eq_EoldGas(D$17,D$22,E$17,G$17,-1,H17,I17,H22,I22)</f>
        <v>0.9483402898741824</v>
      </c>
      <c r="F28" s="393" t="s">
        <v>49</v>
      </c>
      <c r="G28" s="475">
        <f>G$17</f>
        <v>12</v>
      </c>
      <c r="H28" s="475"/>
      <c r="I28" s="475"/>
      <c r="J28" s="393" t="s">
        <v>49</v>
      </c>
      <c r="K28" s="407">
        <f>[1]!srEnewGas(D$22,E28,G28,H22,I22)</f>
        <v>0.26299913350281184</v>
      </c>
      <c r="L28" s="870">
        <f>K28*F$20</f>
        <v>10.519965340112474</v>
      </c>
      <c r="M28" s="522">
        <f>E28-K28</f>
        <v>0.6853411563713705</v>
      </c>
      <c r="N28" s="975">
        <f>M28*F$20</f>
        <v>27.413646254854818</v>
      </c>
      <c r="O28" s="884">
        <f>N28/N$17</f>
        <v>1.0004484658085906</v>
      </c>
      <c r="P28" s="9"/>
      <c r="Q28" s="35">
        <f t="shared" si="11"/>
        <v>37</v>
      </c>
      <c r="R28" s="556">
        <f>[1]!srIx2Val(S$6,Q28,1)</f>
        <v>4.5454545454545459E-5</v>
      </c>
      <c r="S28" s="1001">
        <f>[1]!srIx2Val(S$6,Q28,5)</f>
        <v>15.5</v>
      </c>
      <c r="T28" s="1001">
        <f t="shared" si="0"/>
        <v>-12863.138110928061</v>
      </c>
      <c r="U28" s="465">
        <f>IF(T28&lt;=0,0,[1]!srRng2E(S$6,T28))</f>
        <v>0</v>
      </c>
      <c r="V28" s="482" t="e">
        <f t="shared" si="1"/>
        <v>#N/A</v>
      </c>
      <c r="W28" s="466">
        <f t="shared" si="2"/>
        <v>4.5454545454545459E-5</v>
      </c>
      <c r="X28" s="466" t="e">
        <f t="shared" si="3"/>
        <v>#N/A</v>
      </c>
      <c r="Y28" s="466">
        <f t="shared" si="4"/>
        <v>6.0000000000000001E-3</v>
      </c>
      <c r="AA28" s="35">
        <f t="shared" si="5"/>
        <v>37</v>
      </c>
      <c r="AB28" s="556">
        <f>[1]!srIx2Val(AC$6,AA28,1)</f>
        <v>4.4999999999999996E-5</v>
      </c>
      <c r="AC28" s="1001">
        <f>[1]!srIx2Val(AC$6,AA28,5)</f>
        <v>7.54</v>
      </c>
      <c r="AD28" s="1001">
        <f t="shared" si="6"/>
        <v>-9419.7680530617708</v>
      </c>
      <c r="AE28" s="465">
        <f>IF(AD28&lt;=0,0,[1]!srRng2E(AC$6,AD28))</f>
        <v>0</v>
      </c>
      <c r="AF28" s="466" t="e">
        <f t="shared" si="7"/>
        <v>#N/A</v>
      </c>
      <c r="AG28" s="466">
        <f t="shared" si="8"/>
        <v>4.4999999999999996E-5</v>
      </c>
      <c r="AH28" s="466" t="e">
        <f t="shared" si="9"/>
        <v>#N/A</v>
      </c>
      <c r="AI28" s="466">
        <f t="shared" si="10"/>
        <v>1.8E-3</v>
      </c>
    </row>
    <row r="29" spans="2:35">
      <c r="B29" s="9"/>
      <c r="D29" s="36"/>
      <c r="E29" s="37"/>
      <c r="F29" s="35"/>
      <c r="G29" s="585"/>
      <c r="H29" s="585"/>
      <c r="I29" s="585"/>
      <c r="J29" s="35"/>
      <c r="K29" s="35"/>
      <c r="L29" s="482"/>
      <c r="M29" s="353"/>
      <c r="N29" s="353"/>
      <c r="O29" s="353"/>
      <c r="P29" s="9"/>
      <c r="Q29" s="35">
        <f t="shared" si="11"/>
        <v>38</v>
      </c>
      <c r="R29" s="556">
        <f>[1]!srIx2Val(S$6,Q29,1)</f>
        <v>4.9242424242424238E-5</v>
      </c>
      <c r="S29" s="1001">
        <f>[1]!srIx2Val(S$6,Q29,5)</f>
        <v>16.16</v>
      </c>
      <c r="T29" s="1001">
        <f t="shared" si="0"/>
        <v>-12862.478110928061</v>
      </c>
      <c r="U29" s="465">
        <f>IF(T29&lt;=0,0,[1]!srRng2E(S$6,T29))</f>
        <v>0</v>
      </c>
      <c r="V29" s="482" t="e">
        <f t="shared" si="1"/>
        <v>#N/A</v>
      </c>
      <c r="W29" s="466">
        <f t="shared" si="2"/>
        <v>4.9242424242424238E-5</v>
      </c>
      <c r="X29" s="466" t="e">
        <f t="shared" si="3"/>
        <v>#N/A</v>
      </c>
      <c r="Y29" s="466">
        <f t="shared" si="4"/>
        <v>6.4999999999999997E-3</v>
      </c>
      <c r="AA29" s="35">
        <f t="shared" si="5"/>
        <v>38</v>
      </c>
      <c r="AB29" s="556">
        <f>[1]!srIx2Val(AC$6,AA29,1)</f>
        <v>5.0000000000000002E-5</v>
      </c>
      <c r="AC29" s="1001">
        <f>[1]!srIx2Val(AC$6,AA29,5)</f>
        <v>8.0500000000000007</v>
      </c>
      <c r="AD29" s="1001">
        <f t="shared" si="6"/>
        <v>-9419.2580530617724</v>
      </c>
      <c r="AE29" s="465">
        <f>IF(AD29&lt;=0,0,[1]!srRng2E(AC$6,AD29))</f>
        <v>0</v>
      </c>
      <c r="AF29" s="466" t="e">
        <f t="shared" si="7"/>
        <v>#N/A</v>
      </c>
      <c r="AG29" s="466">
        <f t="shared" si="8"/>
        <v>5.0000000000000002E-5</v>
      </c>
      <c r="AH29" s="466" t="e">
        <f t="shared" si="9"/>
        <v>#N/A</v>
      </c>
      <c r="AI29" s="466">
        <f t="shared" si="10"/>
        <v>2E-3</v>
      </c>
    </row>
    <row r="30" spans="2:35">
      <c r="B30" s="9"/>
      <c r="D30" s="491"/>
      <c r="E30" s="586"/>
      <c r="F30" s="36"/>
      <c r="G30" s="587"/>
      <c r="H30" s="587"/>
      <c r="I30" s="587"/>
      <c r="J30" s="35"/>
      <c r="K30" s="36"/>
      <c r="L30" s="482"/>
      <c r="M30" s="353"/>
      <c r="N30" s="353"/>
      <c r="O30" s="353"/>
      <c r="P30" s="217"/>
      <c r="Q30" s="35">
        <f t="shared" si="11"/>
        <v>39</v>
      </c>
      <c r="R30" s="556">
        <f>[1]!srIx2Val(S$6,Q30,1)</f>
        <v>5.3030303030303032E-5</v>
      </c>
      <c r="S30" s="1001">
        <f>[1]!srIx2Val(S$6,Q30,5)</f>
        <v>16.79</v>
      </c>
      <c r="T30" s="1001">
        <f t="shared" si="0"/>
        <v>-12861.84811092806</v>
      </c>
      <c r="U30" s="465">
        <f>IF(T30&lt;=0,0,[1]!srRng2E(S$6,T30))</f>
        <v>0</v>
      </c>
      <c r="V30" s="482" t="e">
        <f t="shared" si="1"/>
        <v>#N/A</v>
      </c>
      <c r="W30" s="466">
        <f t="shared" si="2"/>
        <v>5.3030303030303032E-5</v>
      </c>
      <c r="X30" s="466" t="e">
        <f t="shared" si="3"/>
        <v>#N/A</v>
      </c>
      <c r="Y30" s="466">
        <f t="shared" si="4"/>
        <v>7.0000000000000001E-3</v>
      </c>
      <c r="AA30" s="35">
        <f t="shared" si="5"/>
        <v>39</v>
      </c>
      <c r="AB30" s="556">
        <f>[1]!srIx2Val(AC$6,AA30,1)</f>
        <v>5.6249999999999998E-5</v>
      </c>
      <c r="AC30" s="1001">
        <f>[1]!srIx2Val(AC$6,AA30,5)</f>
        <v>8.65</v>
      </c>
      <c r="AD30" s="1001">
        <f t="shared" si="6"/>
        <v>-9418.6580530617721</v>
      </c>
      <c r="AE30" s="465">
        <f>IF(AD30&lt;=0,0,[1]!srRng2E(AC$6,AD30))</f>
        <v>0</v>
      </c>
      <c r="AF30" s="466" t="e">
        <f t="shared" si="7"/>
        <v>#N/A</v>
      </c>
      <c r="AG30" s="466">
        <f t="shared" si="8"/>
        <v>5.6249999999999998E-5</v>
      </c>
      <c r="AH30" s="466" t="e">
        <f t="shared" si="9"/>
        <v>#N/A</v>
      </c>
      <c r="AI30" s="466">
        <f t="shared" si="10"/>
        <v>2.2499999999999998E-3</v>
      </c>
    </row>
    <row r="31" spans="2:35">
      <c r="B31" s="9"/>
      <c r="J31" s="488"/>
      <c r="K31" s="466"/>
      <c r="L31" s="482"/>
      <c r="M31" s="353"/>
      <c r="N31" s="353"/>
      <c r="O31" s="353"/>
      <c r="P31" s="217"/>
      <c r="Q31" s="35">
        <f t="shared" si="11"/>
        <v>40</v>
      </c>
      <c r="R31" s="556">
        <f>[1]!srIx2Val(S$6,Q31,1)</f>
        <v>6.0606060606060605E-5</v>
      </c>
      <c r="S31" s="1001">
        <f>[1]!srIx2Val(S$6,Q31,5)</f>
        <v>18.02</v>
      </c>
      <c r="T31" s="1001">
        <f t="shared" si="0"/>
        <v>-12860.618110928061</v>
      </c>
      <c r="U31" s="465">
        <f>IF(T31&lt;=0,0,[1]!srRng2E(S$6,T31))</f>
        <v>0</v>
      </c>
      <c r="V31" s="482" t="e">
        <f t="shared" si="1"/>
        <v>#N/A</v>
      </c>
      <c r="W31" s="466">
        <f t="shared" si="2"/>
        <v>6.0606060606060605E-5</v>
      </c>
      <c r="X31" s="466" t="e">
        <f t="shared" si="3"/>
        <v>#N/A</v>
      </c>
      <c r="Y31" s="466">
        <f t="shared" si="4"/>
        <v>8.0000000000000002E-3</v>
      </c>
      <c r="AA31" s="35">
        <f t="shared" si="5"/>
        <v>40</v>
      </c>
      <c r="AB31" s="556">
        <f>[1]!srIx2Val(AC$6,AA31,1)</f>
        <v>6.2500000000000001E-5</v>
      </c>
      <c r="AC31" s="1001">
        <f>[1]!srIx2Val(AC$6,AA31,5)</f>
        <v>9.25</v>
      </c>
      <c r="AD31" s="1001">
        <f t="shared" si="6"/>
        <v>-9418.0580530617717</v>
      </c>
      <c r="AE31" s="465">
        <f>IF(AD31&lt;=0,0,[1]!srRng2E(AC$6,AD31))</f>
        <v>0</v>
      </c>
      <c r="AF31" s="466" t="e">
        <f t="shared" si="7"/>
        <v>#N/A</v>
      </c>
      <c r="AG31" s="466">
        <f t="shared" si="8"/>
        <v>6.2500000000000001E-5</v>
      </c>
      <c r="AH31" s="466" t="e">
        <f t="shared" si="9"/>
        <v>#N/A</v>
      </c>
      <c r="AI31" s="466">
        <f t="shared" si="10"/>
        <v>2.5000000000000001E-3</v>
      </c>
    </row>
    <row r="32" spans="2:35">
      <c r="B32" s="9"/>
      <c r="J32" s="488"/>
      <c r="K32" s="466"/>
      <c r="L32" s="482"/>
      <c r="M32" s="353"/>
      <c r="N32" s="353"/>
      <c r="O32" s="353"/>
      <c r="P32" s="217"/>
      <c r="Q32" s="35">
        <f t="shared" si="11"/>
        <v>41</v>
      </c>
      <c r="R32" s="556">
        <f>[1]!srIx2Val(S$6,Q32,1)</f>
        <v>6.8181818181818171E-5</v>
      </c>
      <c r="S32" s="1001">
        <f>[1]!srIx2Val(S$6,Q32,5)</f>
        <v>19.190000000000001</v>
      </c>
      <c r="T32" s="1001">
        <f t="shared" si="0"/>
        <v>-12859.44811092806</v>
      </c>
      <c r="U32" s="465">
        <f>IF(T32&lt;=0,0,[1]!srRng2E(S$6,T32))</f>
        <v>0</v>
      </c>
      <c r="V32" s="482" t="e">
        <f t="shared" si="1"/>
        <v>#N/A</v>
      </c>
      <c r="W32" s="466">
        <f t="shared" si="2"/>
        <v>6.8181818181818171E-5</v>
      </c>
      <c r="X32" s="466" t="e">
        <f t="shared" si="3"/>
        <v>#N/A</v>
      </c>
      <c r="Y32" s="466">
        <f t="shared" si="4"/>
        <v>8.9999999999999993E-3</v>
      </c>
      <c r="AA32" s="35">
        <f t="shared" si="5"/>
        <v>41</v>
      </c>
      <c r="AB32" s="556">
        <f>[1]!srIx2Val(AC$6,AA32,1)</f>
        <v>6.8749999999999991E-5</v>
      </c>
      <c r="AC32" s="1001">
        <f>[1]!srIx2Val(AC$6,AA32,5)</f>
        <v>9.82</v>
      </c>
      <c r="AD32" s="1001">
        <f t="shared" si="6"/>
        <v>-9417.488053061772</v>
      </c>
      <c r="AE32" s="465">
        <f>IF(AD32&lt;=0,0,[1]!srRng2E(AC$6,AD32))</f>
        <v>0</v>
      </c>
      <c r="AF32" s="466" t="e">
        <f t="shared" si="7"/>
        <v>#N/A</v>
      </c>
      <c r="AG32" s="466">
        <f t="shared" si="8"/>
        <v>6.8749999999999991E-5</v>
      </c>
      <c r="AH32" s="466" t="e">
        <f t="shared" si="9"/>
        <v>#N/A</v>
      </c>
      <c r="AI32" s="466">
        <f t="shared" si="10"/>
        <v>2.7499999999999998E-3</v>
      </c>
    </row>
    <row r="33" spans="2:35">
      <c r="B33" s="9"/>
      <c r="J33" s="488"/>
      <c r="K33" s="466"/>
      <c r="L33" s="482"/>
      <c r="M33" s="353"/>
      <c r="N33" s="353"/>
      <c r="O33" s="353"/>
      <c r="P33" s="9"/>
      <c r="Q33" s="35">
        <f t="shared" si="11"/>
        <v>42</v>
      </c>
      <c r="R33" s="556">
        <f>[1]!srIx2Val(S$6,Q33,1)</f>
        <v>7.5757575757575758E-5</v>
      </c>
      <c r="S33" s="1001">
        <f>[1]!srIx2Val(S$6,Q33,5)</f>
        <v>20.32</v>
      </c>
      <c r="T33" s="1001">
        <f t="shared" si="0"/>
        <v>-12858.318110928061</v>
      </c>
      <c r="U33" s="465">
        <f>IF(T33&lt;=0,0,[1]!srRng2E(S$6,T33))</f>
        <v>0</v>
      </c>
      <c r="V33" s="482" t="e">
        <f t="shared" si="1"/>
        <v>#N/A</v>
      </c>
      <c r="W33" s="466">
        <f t="shared" si="2"/>
        <v>7.5757575757575758E-5</v>
      </c>
      <c r="X33" s="466" t="e">
        <f t="shared" si="3"/>
        <v>#N/A</v>
      </c>
      <c r="Y33" s="466">
        <f t="shared" si="4"/>
        <v>0.01</v>
      </c>
      <c r="AA33" s="35">
        <f t="shared" si="5"/>
        <v>42</v>
      </c>
      <c r="AB33" s="556">
        <f>[1]!srIx2Val(AC$6,AA33,1)</f>
        <v>7.5000000000000007E-5</v>
      </c>
      <c r="AC33" s="1001">
        <f>[1]!srIx2Val(AC$6,AA33,5)</f>
        <v>10.39</v>
      </c>
      <c r="AD33" s="1001">
        <f t="shared" si="6"/>
        <v>-9416.9180530617723</v>
      </c>
      <c r="AE33" s="465">
        <f>IF(AD33&lt;=0,0,[1]!srRng2E(AC$6,AD33))</f>
        <v>0</v>
      </c>
      <c r="AF33" s="466" t="e">
        <f t="shared" si="7"/>
        <v>#N/A</v>
      </c>
      <c r="AG33" s="466">
        <f t="shared" si="8"/>
        <v>7.5000000000000007E-5</v>
      </c>
      <c r="AH33" s="466" t="e">
        <f t="shared" si="9"/>
        <v>#N/A</v>
      </c>
      <c r="AI33" s="466">
        <f t="shared" si="10"/>
        <v>3.0000000000000001E-3</v>
      </c>
    </row>
    <row r="34" spans="2:35">
      <c r="B34" s="35"/>
      <c r="J34" s="488"/>
      <c r="K34" s="466"/>
      <c r="L34" s="482"/>
      <c r="M34" s="353"/>
      <c r="N34" s="353"/>
      <c r="O34" s="353"/>
      <c r="P34" s="35"/>
      <c r="Q34" s="35">
        <f t="shared" si="11"/>
        <v>43</v>
      </c>
      <c r="R34" s="556">
        <f>[1]!srIx2Val(S$6,Q34,1)</f>
        <v>8.3333333333333331E-5</v>
      </c>
      <c r="S34" s="1001">
        <f>[1]!srIx2Val(S$6,Q34,5)</f>
        <v>21.41</v>
      </c>
      <c r="T34" s="1001">
        <f t="shared" si="0"/>
        <v>-12857.228110928061</v>
      </c>
      <c r="U34" s="465">
        <f>IF(T34&lt;=0,0,[1]!srRng2E(S$6,T34))</f>
        <v>0</v>
      </c>
      <c r="V34" s="482" t="e">
        <f t="shared" si="1"/>
        <v>#N/A</v>
      </c>
      <c r="W34" s="466">
        <f t="shared" si="2"/>
        <v>8.3333333333333331E-5</v>
      </c>
      <c r="X34" s="466" t="e">
        <f t="shared" si="3"/>
        <v>#N/A</v>
      </c>
      <c r="Y34" s="466">
        <f t="shared" si="4"/>
        <v>1.0999999999999999E-2</v>
      </c>
      <c r="AA34" s="35">
        <f t="shared" si="5"/>
        <v>43</v>
      </c>
      <c r="AB34" s="556">
        <f>[1]!srIx2Val(AC$6,AA34,1)</f>
        <v>8.1249999999999996E-5</v>
      </c>
      <c r="AC34" s="1001">
        <f>[1]!srIx2Val(AC$6,AA34,5)</f>
        <v>10.94</v>
      </c>
      <c r="AD34" s="1001">
        <f t="shared" si="6"/>
        <v>-9416.3680530617712</v>
      </c>
      <c r="AE34" s="465">
        <f>IF(AD34&lt;=0,0,[1]!srRng2E(AC$6,AD34))</f>
        <v>0</v>
      </c>
      <c r="AF34" s="466" t="e">
        <f t="shared" si="7"/>
        <v>#N/A</v>
      </c>
      <c r="AG34" s="466">
        <f t="shared" si="8"/>
        <v>8.1249999999999996E-5</v>
      </c>
      <c r="AH34" s="466" t="e">
        <f t="shared" si="9"/>
        <v>#N/A</v>
      </c>
      <c r="AI34" s="466">
        <f t="shared" si="10"/>
        <v>3.2499999999999999E-3</v>
      </c>
    </row>
    <row r="35" spans="2:35">
      <c r="B35" s="35"/>
      <c r="J35" s="488"/>
      <c r="K35" s="466"/>
      <c r="L35" s="482"/>
      <c r="M35" s="353"/>
      <c r="N35" s="353"/>
      <c r="O35" s="353"/>
      <c r="P35" s="35"/>
      <c r="Q35" s="35">
        <f t="shared" si="11"/>
        <v>44</v>
      </c>
      <c r="R35" s="556">
        <f>[1]!srIx2Val(S$6,Q35,1)</f>
        <v>9.0909090909090917E-5</v>
      </c>
      <c r="S35" s="1001">
        <f>[1]!srIx2Val(S$6,Q35,5)</f>
        <v>22.47</v>
      </c>
      <c r="T35" s="1001">
        <f t="shared" si="0"/>
        <v>-12856.168110928062</v>
      </c>
      <c r="U35" s="465">
        <f>IF(T35&lt;=0,0,[1]!srRng2E(S$6,T35))</f>
        <v>0</v>
      </c>
      <c r="V35" s="482" t="e">
        <f t="shared" si="1"/>
        <v>#N/A</v>
      </c>
      <c r="W35" s="466">
        <f t="shared" si="2"/>
        <v>9.0909090909090917E-5</v>
      </c>
      <c r="X35" s="466" t="e">
        <f t="shared" si="3"/>
        <v>#N/A</v>
      </c>
      <c r="Y35" s="466">
        <f t="shared" si="4"/>
        <v>1.2E-2</v>
      </c>
      <c r="AA35" s="35">
        <f t="shared" si="5"/>
        <v>44</v>
      </c>
      <c r="AB35" s="556">
        <f>[1]!srIx2Val(AC$6,AA35,1)</f>
        <v>8.7499999999999999E-5</v>
      </c>
      <c r="AC35" s="1001">
        <f>[1]!srIx2Val(AC$6,AA35,5)</f>
        <v>11.49</v>
      </c>
      <c r="AD35" s="1001">
        <f t="shared" si="6"/>
        <v>-9415.8180530617719</v>
      </c>
      <c r="AE35" s="465">
        <f>IF(AD35&lt;=0,0,[1]!srRng2E(AC$6,AD35))</f>
        <v>0</v>
      </c>
      <c r="AF35" s="466" t="e">
        <f t="shared" si="7"/>
        <v>#N/A</v>
      </c>
      <c r="AG35" s="466">
        <f t="shared" si="8"/>
        <v>8.7499999999999999E-5</v>
      </c>
      <c r="AH35" s="466" t="e">
        <f t="shared" si="9"/>
        <v>#N/A</v>
      </c>
      <c r="AI35" s="466">
        <f t="shared" si="10"/>
        <v>3.5000000000000001E-3</v>
      </c>
    </row>
    <row r="36" spans="2:35">
      <c r="B36" s="35"/>
      <c r="J36" s="488"/>
      <c r="K36" s="466"/>
      <c r="L36" s="482"/>
      <c r="M36" s="353"/>
      <c r="N36" s="353"/>
      <c r="O36" s="353"/>
      <c r="P36" s="35"/>
      <c r="Q36" s="35">
        <f t="shared" si="11"/>
        <v>45</v>
      </c>
      <c r="R36" s="556">
        <f>[1]!srIx2Val(S$6,Q36,1)</f>
        <v>9.8484848484848477E-5</v>
      </c>
      <c r="S36" s="1001">
        <f>[1]!srIx2Val(S$6,Q36,5)</f>
        <v>23.5</v>
      </c>
      <c r="T36" s="1001">
        <f t="shared" si="0"/>
        <v>-12855.138110928061</v>
      </c>
      <c r="U36" s="465">
        <f>IF(T36&lt;=0,0,[1]!srRng2E(S$6,T36))</f>
        <v>0</v>
      </c>
      <c r="V36" s="482" t="e">
        <f t="shared" si="1"/>
        <v>#N/A</v>
      </c>
      <c r="W36" s="466">
        <f t="shared" si="2"/>
        <v>9.8484848484848477E-5</v>
      </c>
      <c r="X36" s="466" t="e">
        <f t="shared" si="3"/>
        <v>#N/A</v>
      </c>
      <c r="Y36" s="466">
        <f t="shared" si="4"/>
        <v>1.2999999999999999E-2</v>
      </c>
      <c r="AA36" s="35">
        <f t="shared" si="5"/>
        <v>45</v>
      </c>
      <c r="AB36" s="556">
        <f>[1]!srIx2Val(AC$6,AA36,1)</f>
        <v>9.3750000000000002E-5</v>
      </c>
      <c r="AC36" s="1001">
        <f>[1]!srIx2Val(AC$6,AA36,5)</f>
        <v>12.03</v>
      </c>
      <c r="AD36" s="1001">
        <f t="shared" si="6"/>
        <v>-9415.2780530617711</v>
      </c>
      <c r="AE36" s="465">
        <f>IF(AD36&lt;=0,0,[1]!srRng2E(AC$6,AD36))</f>
        <v>0</v>
      </c>
      <c r="AF36" s="466" t="e">
        <f t="shared" si="7"/>
        <v>#N/A</v>
      </c>
      <c r="AG36" s="466">
        <f t="shared" si="8"/>
        <v>9.3750000000000002E-5</v>
      </c>
      <c r="AH36" s="466" t="e">
        <f t="shared" si="9"/>
        <v>#N/A</v>
      </c>
      <c r="AI36" s="466">
        <f t="shared" si="10"/>
        <v>3.7499999999999999E-3</v>
      </c>
    </row>
    <row r="37" spans="2:35" s="9" customFormat="1" ht="12">
      <c r="B37" s="35"/>
      <c r="L37" s="482"/>
      <c r="M37" s="353"/>
      <c r="N37" s="353"/>
      <c r="O37" s="353"/>
      <c r="P37" s="35"/>
      <c r="Q37" s="35">
        <f t="shared" si="11"/>
        <v>46</v>
      </c>
      <c r="R37" s="556">
        <f>[1]!srIx2Val(S$6,Q37,1)</f>
        <v>1.0606060606060606E-4</v>
      </c>
      <c r="S37" s="1001">
        <f>[1]!srIx2Val(S$6,Q37,5)</f>
        <v>24.51</v>
      </c>
      <c r="T37" s="1001">
        <f t="shared" si="0"/>
        <v>-12854.128110928061</v>
      </c>
      <c r="U37" s="465">
        <f>IF(T37&lt;=0,0,[1]!srRng2E(S$6,T37))</f>
        <v>0</v>
      </c>
      <c r="V37" s="482" t="e">
        <f t="shared" si="1"/>
        <v>#N/A</v>
      </c>
      <c r="W37" s="466">
        <f t="shared" si="2"/>
        <v>1.0606060606060606E-4</v>
      </c>
      <c r="X37" s="466" t="e">
        <f t="shared" si="3"/>
        <v>#N/A</v>
      </c>
      <c r="Y37" s="466">
        <f t="shared" si="4"/>
        <v>1.4E-2</v>
      </c>
      <c r="AA37" s="35">
        <f t="shared" si="5"/>
        <v>46</v>
      </c>
      <c r="AB37" s="556">
        <f>[1]!srIx2Val(AC$6,AA37,1)</f>
        <v>1E-4</v>
      </c>
      <c r="AC37" s="1001">
        <f>[1]!srIx2Val(AC$6,AA37,5)</f>
        <v>12.56</v>
      </c>
      <c r="AD37" s="1001">
        <f t="shared" si="6"/>
        <v>-9414.7480530617722</v>
      </c>
      <c r="AE37" s="465">
        <f>IF(AD37&lt;=0,0,[1]!srRng2E(AC$6,AD37))</f>
        <v>0</v>
      </c>
      <c r="AF37" s="466" t="e">
        <f t="shared" si="7"/>
        <v>#N/A</v>
      </c>
      <c r="AG37" s="466">
        <f t="shared" si="8"/>
        <v>1E-4</v>
      </c>
      <c r="AH37" s="466" t="e">
        <f t="shared" si="9"/>
        <v>#N/A</v>
      </c>
      <c r="AI37" s="466">
        <f t="shared" si="10"/>
        <v>4.0000000000000001E-3</v>
      </c>
    </row>
    <row r="38" spans="2:35" s="9" customFormat="1" ht="12">
      <c r="L38" s="545"/>
      <c r="M38" s="35"/>
      <c r="N38" s="35"/>
      <c r="O38" s="353"/>
      <c r="Q38" s="35">
        <f t="shared" si="11"/>
        <v>47</v>
      </c>
      <c r="R38" s="556">
        <f>[1]!srIx2Val(S$6,Q38,1)</f>
        <v>1.1363636363636364E-4</v>
      </c>
      <c r="S38" s="1001">
        <f>[1]!srIx2Val(S$6,Q38,5)</f>
        <v>25.5</v>
      </c>
      <c r="T38" s="1001">
        <f t="shared" si="0"/>
        <v>-12853.138110928061</v>
      </c>
      <c r="U38" s="465">
        <f>IF(T38&lt;=0,0,[1]!srRng2E(S$6,T38))</f>
        <v>0</v>
      </c>
      <c r="V38" s="482" t="e">
        <f t="shared" si="1"/>
        <v>#N/A</v>
      </c>
      <c r="W38" s="466">
        <f t="shared" si="2"/>
        <v>1.1363636363636364E-4</v>
      </c>
      <c r="X38" s="466" t="e">
        <f t="shared" si="3"/>
        <v>#N/A</v>
      </c>
      <c r="Y38" s="466">
        <f t="shared" si="4"/>
        <v>1.4999999999999999E-2</v>
      </c>
      <c r="AA38" s="35">
        <f t="shared" si="5"/>
        <v>47</v>
      </c>
      <c r="AB38" s="556">
        <f>[1]!srIx2Val(AC$6,AA38,1)</f>
        <v>1.125E-4</v>
      </c>
      <c r="AC38" s="1001">
        <f>[1]!srIx2Val(AC$6,AA38,5)</f>
        <v>13.6</v>
      </c>
      <c r="AD38" s="1001">
        <f t="shared" si="6"/>
        <v>-9413.7080530617714</v>
      </c>
      <c r="AE38" s="465">
        <f>IF(AD38&lt;=0,0,[1]!srRng2E(AC$6,AD38))</f>
        <v>0</v>
      </c>
      <c r="AF38" s="466" t="e">
        <f t="shared" si="7"/>
        <v>#N/A</v>
      </c>
      <c r="AG38" s="466">
        <f t="shared" si="8"/>
        <v>1.125E-4</v>
      </c>
      <c r="AH38" s="466" t="e">
        <f t="shared" si="9"/>
        <v>#N/A</v>
      </c>
      <c r="AI38" s="466">
        <f t="shared" si="10"/>
        <v>4.4999999999999997E-3</v>
      </c>
    </row>
    <row r="39" spans="2:35" s="9" customFormat="1" ht="12">
      <c r="J39" s="488"/>
      <c r="K39" s="466"/>
      <c r="L39" s="482"/>
      <c r="M39" s="353"/>
      <c r="N39" s="353"/>
      <c r="O39" s="353"/>
      <c r="Q39" s="35">
        <f t="shared" si="11"/>
        <v>48</v>
      </c>
      <c r="R39" s="556">
        <f>[1]!srIx2Val(S$6,Q39,1)</f>
        <v>1.2121212121212121E-4</v>
      </c>
      <c r="S39" s="1001">
        <f>[1]!srIx2Val(S$6,Q39,5)</f>
        <v>26.47</v>
      </c>
      <c r="T39" s="1001">
        <f t="shared" si="0"/>
        <v>-12852.168110928062</v>
      </c>
      <c r="U39" s="465">
        <f>IF(T39&lt;=0,0,[1]!srRng2E(S$6,T39))</f>
        <v>0</v>
      </c>
      <c r="V39" s="482" t="e">
        <f t="shared" si="1"/>
        <v>#N/A</v>
      </c>
      <c r="W39" s="466">
        <f t="shared" si="2"/>
        <v>1.2121212121212121E-4</v>
      </c>
      <c r="X39" s="466" t="e">
        <f t="shared" si="3"/>
        <v>#N/A</v>
      </c>
      <c r="Y39" s="466">
        <f t="shared" si="4"/>
        <v>1.6E-2</v>
      </c>
      <c r="AA39" s="35">
        <f t="shared" si="5"/>
        <v>48</v>
      </c>
      <c r="AB39" s="556">
        <f>[1]!srIx2Val(AC$6,AA39,1)</f>
        <v>1.25E-4</v>
      </c>
      <c r="AC39" s="1001">
        <f>[1]!srIx2Val(AC$6,AA39,5)</f>
        <v>14.62</v>
      </c>
      <c r="AD39" s="1001">
        <f t="shared" si="6"/>
        <v>-9412.6880530617709</v>
      </c>
      <c r="AE39" s="465">
        <f>IF(AD39&lt;=0,0,[1]!srRng2E(AC$6,AD39))</f>
        <v>0</v>
      </c>
      <c r="AF39" s="466" t="e">
        <f t="shared" si="7"/>
        <v>#N/A</v>
      </c>
      <c r="AG39" s="466">
        <f t="shared" si="8"/>
        <v>1.25E-4</v>
      </c>
      <c r="AH39" s="466" t="e">
        <f t="shared" si="9"/>
        <v>#N/A</v>
      </c>
      <c r="AI39" s="466">
        <f t="shared" si="10"/>
        <v>5.0000000000000001E-3</v>
      </c>
    </row>
    <row r="40" spans="2:35" s="9" customFormat="1" ht="12">
      <c r="J40" s="488"/>
      <c r="K40" s="466"/>
      <c r="L40" s="482"/>
      <c r="M40" s="353"/>
      <c r="N40" s="353"/>
      <c r="O40" s="353"/>
      <c r="Q40" s="35">
        <f t="shared" si="11"/>
        <v>49</v>
      </c>
      <c r="R40" s="556">
        <f>[1]!srIx2Val(S$6,Q40,1)</f>
        <v>1.2878787878787881E-4</v>
      </c>
      <c r="S40" s="1001">
        <f>[1]!srIx2Val(S$6,Q40,5)</f>
        <v>27.42</v>
      </c>
      <c r="T40" s="1001">
        <f t="shared" si="0"/>
        <v>-12851.218110928061</v>
      </c>
      <c r="U40" s="465">
        <f>IF(T40&lt;=0,0,[1]!srRng2E(S$6,T40))</f>
        <v>0</v>
      </c>
      <c r="V40" s="482" t="e">
        <f t="shared" si="1"/>
        <v>#N/A</v>
      </c>
      <c r="W40" s="466">
        <f t="shared" si="2"/>
        <v>1.2878787878787881E-4</v>
      </c>
      <c r="X40" s="466" t="e">
        <f t="shared" si="3"/>
        <v>#N/A</v>
      </c>
      <c r="Y40" s="466">
        <f t="shared" si="4"/>
        <v>1.7000000000000001E-2</v>
      </c>
      <c r="AA40" s="35">
        <f t="shared" si="5"/>
        <v>49</v>
      </c>
      <c r="AB40" s="556">
        <f>[1]!srIx2Val(AC$6,AA40,1)</f>
        <v>1.3749999999999998E-4</v>
      </c>
      <c r="AC40" s="1001">
        <f>[1]!srIx2Val(AC$6,AA40,5)</f>
        <v>15.62</v>
      </c>
      <c r="AD40" s="1001">
        <f t="shared" si="6"/>
        <v>-9411.6880530617709</v>
      </c>
      <c r="AE40" s="465">
        <f>IF(AD40&lt;=0,0,[1]!srRng2E(AC$6,AD40))</f>
        <v>0</v>
      </c>
      <c r="AF40" s="466" t="e">
        <f t="shared" si="7"/>
        <v>#N/A</v>
      </c>
      <c r="AG40" s="466">
        <f t="shared" si="8"/>
        <v>1.3749999999999998E-4</v>
      </c>
      <c r="AH40" s="466" t="e">
        <f t="shared" si="9"/>
        <v>#N/A</v>
      </c>
      <c r="AI40" s="466">
        <f t="shared" si="10"/>
        <v>5.4999999999999997E-3</v>
      </c>
    </row>
    <row r="41" spans="2:35" s="9" customFormat="1" ht="12">
      <c r="J41" s="488"/>
      <c r="K41" s="466"/>
      <c r="L41" s="482"/>
      <c r="M41" s="353"/>
      <c r="N41" s="353"/>
      <c r="O41" s="353"/>
      <c r="Q41" s="35">
        <f t="shared" si="11"/>
        <v>50</v>
      </c>
      <c r="R41" s="556">
        <f>[1]!srIx2Val(S$6,Q41,1)</f>
        <v>1.3636363636363634E-4</v>
      </c>
      <c r="S41" s="1001">
        <f>[1]!srIx2Val(S$6,Q41,5)</f>
        <v>28.35</v>
      </c>
      <c r="T41" s="1001">
        <f t="shared" si="0"/>
        <v>-12850.288110928061</v>
      </c>
      <c r="U41" s="465">
        <f>IF(T41&lt;=0,0,[1]!srRng2E(S$6,T41))</f>
        <v>0</v>
      </c>
      <c r="V41" s="482" t="e">
        <f t="shared" si="1"/>
        <v>#N/A</v>
      </c>
      <c r="W41" s="466">
        <f t="shared" si="2"/>
        <v>1.3636363636363634E-4</v>
      </c>
      <c r="X41" s="466" t="e">
        <f t="shared" si="3"/>
        <v>#N/A</v>
      </c>
      <c r="Y41" s="466">
        <f t="shared" si="4"/>
        <v>1.7999999999999999E-2</v>
      </c>
      <c r="AA41" s="35">
        <f t="shared" si="5"/>
        <v>50</v>
      </c>
      <c r="AB41" s="556">
        <f>[1]!srIx2Val(AC$6,AA41,1)</f>
        <v>1.5000000000000001E-4</v>
      </c>
      <c r="AC41" s="1001">
        <f>[1]!srIx2Val(AC$6,AA41,5)</f>
        <v>16.61</v>
      </c>
      <c r="AD41" s="1001">
        <f t="shared" si="6"/>
        <v>-9410.6980530617711</v>
      </c>
      <c r="AE41" s="465">
        <f>IF(AD41&lt;=0,0,[1]!srRng2E(AC$6,AD41))</f>
        <v>0</v>
      </c>
      <c r="AF41" s="466" t="e">
        <f t="shared" si="7"/>
        <v>#N/A</v>
      </c>
      <c r="AG41" s="466">
        <f t="shared" si="8"/>
        <v>1.5000000000000001E-4</v>
      </c>
      <c r="AH41" s="466" t="e">
        <f t="shared" si="9"/>
        <v>#N/A</v>
      </c>
      <c r="AI41" s="466">
        <f t="shared" si="10"/>
        <v>6.0000000000000001E-3</v>
      </c>
    </row>
    <row r="42" spans="2:35" s="9" customFormat="1" ht="12">
      <c r="C42" s="534"/>
      <c r="D42" s="489"/>
      <c r="E42" s="535"/>
      <c r="F42" s="535"/>
      <c r="G42" s="535"/>
      <c r="H42" s="535"/>
      <c r="I42" s="535"/>
      <c r="J42" s="488"/>
      <c r="K42" s="466"/>
      <c r="L42" s="482"/>
      <c r="M42" s="353"/>
      <c r="N42" s="353"/>
      <c r="O42" s="353"/>
      <c r="Q42" s="35">
        <f t="shared" si="11"/>
        <v>51</v>
      </c>
      <c r="R42" s="556">
        <f>[1]!srIx2Val(S$6,Q42,1)</f>
        <v>1.5151515151515152E-4</v>
      </c>
      <c r="S42" s="1001">
        <f>[1]!srIx2Val(S$6,Q42,5)</f>
        <v>30.18</v>
      </c>
      <c r="T42" s="1001">
        <f t="shared" si="0"/>
        <v>-12848.458110928061</v>
      </c>
      <c r="U42" s="465">
        <f>IF(T42&lt;=0,0,[1]!srRng2E(S$6,T42))</f>
        <v>0</v>
      </c>
      <c r="V42" s="482" t="e">
        <f t="shared" si="1"/>
        <v>#N/A</v>
      </c>
      <c r="W42" s="466">
        <f t="shared" si="2"/>
        <v>1.5151515151515152E-4</v>
      </c>
      <c r="X42" s="466" t="e">
        <f t="shared" si="3"/>
        <v>#N/A</v>
      </c>
      <c r="Y42" s="466">
        <f t="shared" si="4"/>
        <v>0.02</v>
      </c>
      <c r="AA42" s="35">
        <f t="shared" si="5"/>
        <v>51</v>
      </c>
      <c r="AB42" s="556">
        <f>[1]!srIx2Val(AC$6,AA42,1)</f>
        <v>1.6249999999999999E-4</v>
      </c>
      <c r="AC42" s="1001">
        <f>[1]!srIx2Val(AC$6,AA42,5)</f>
        <v>17.59</v>
      </c>
      <c r="AD42" s="1001">
        <f t="shared" si="6"/>
        <v>-9409.7180530617716</v>
      </c>
      <c r="AE42" s="465">
        <f>IF(AD42&lt;=0,0,[1]!srRng2E(AC$6,AD42))</f>
        <v>0</v>
      </c>
      <c r="AF42" s="466" t="e">
        <f t="shared" si="7"/>
        <v>#N/A</v>
      </c>
      <c r="AG42" s="466">
        <f t="shared" si="8"/>
        <v>1.6249999999999999E-4</v>
      </c>
      <c r="AH42" s="466" t="e">
        <f t="shared" si="9"/>
        <v>#N/A</v>
      </c>
      <c r="AI42" s="466">
        <f t="shared" si="10"/>
        <v>6.4999999999999997E-3</v>
      </c>
    </row>
    <row r="43" spans="2:35" s="9" customFormat="1" ht="12">
      <c r="C43" s="534"/>
      <c r="D43" s="537"/>
      <c r="E43" s="538"/>
      <c r="F43" s="488"/>
      <c r="G43" s="536"/>
      <c r="H43" s="536"/>
      <c r="I43" s="536"/>
      <c r="J43" s="488"/>
      <c r="K43" s="466"/>
      <c r="L43" s="482"/>
      <c r="M43" s="353"/>
      <c r="N43" s="353"/>
      <c r="O43" s="353"/>
      <c r="Q43" s="35">
        <f t="shared" si="11"/>
        <v>52</v>
      </c>
      <c r="R43" s="556">
        <f>[1]!srIx2Val(S$6,Q43,1)</f>
        <v>1.7045454545454544E-4</v>
      </c>
      <c r="S43" s="1001">
        <f>[1]!srIx2Val(S$6,Q43,5)</f>
        <v>32.39</v>
      </c>
      <c r="T43" s="1001">
        <f t="shared" si="0"/>
        <v>-12846.248110928062</v>
      </c>
      <c r="U43" s="465">
        <f>IF(T43&lt;=0,0,[1]!srRng2E(S$6,T43))</f>
        <v>0</v>
      </c>
      <c r="V43" s="482" t="e">
        <f t="shared" si="1"/>
        <v>#N/A</v>
      </c>
      <c r="W43" s="466">
        <f t="shared" si="2"/>
        <v>1.7045454545454544E-4</v>
      </c>
      <c r="X43" s="466" t="e">
        <f t="shared" si="3"/>
        <v>#N/A</v>
      </c>
      <c r="Y43" s="466">
        <f t="shared" si="4"/>
        <v>2.2499999999999999E-2</v>
      </c>
      <c r="AA43" s="35">
        <f t="shared" si="5"/>
        <v>52</v>
      </c>
      <c r="AB43" s="556">
        <f>[1]!srIx2Val(AC$6,AA43,1)</f>
        <v>1.75E-4</v>
      </c>
      <c r="AC43" s="1001">
        <f>[1]!srIx2Val(AC$6,AA43,5)</f>
        <v>18.55</v>
      </c>
      <c r="AD43" s="1001">
        <f t="shared" si="6"/>
        <v>-9408.7580530617724</v>
      </c>
      <c r="AE43" s="465">
        <f>IF(AD43&lt;=0,0,[1]!srRng2E(AC$6,AD43))</f>
        <v>0</v>
      </c>
      <c r="AF43" s="466" t="e">
        <f t="shared" si="7"/>
        <v>#N/A</v>
      </c>
      <c r="AG43" s="466">
        <f t="shared" si="8"/>
        <v>1.75E-4</v>
      </c>
      <c r="AH43" s="466" t="e">
        <f t="shared" si="9"/>
        <v>#N/A</v>
      </c>
      <c r="AI43" s="466">
        <f t="shared" si="10"/>
        <v>7.0000000000000001E-3</v>
      </c>
    </row>
    <row r="44" spans="2:35" s="9" customFormat="1" ht="12">
      <c r="E44" s="365"/>
      <c r="F44" s="35"/>
      <c r="G44" s="465"/>
      <c r="H44" s="465"/>
      <c r="I44" s="465"/>
      <c r="J44" s="35"/>
      <c r="K44" s="466"/>
      <c r="L44" s="482"/>
      <c r="M44" s="353"/>
      <c r="N44" s="353"/>
      <c r="O44" s="353"/>
      <c r="Q44" s="35">
        <f t="shared" si="11"/>
        <v>53</v>
      </c>
      <c r="R44" s="556">
        <f>[1]!srIx2Val(S$6,Q44,1)</f>
        <v>1.8939393939393939E-4</v>
      </c>
      <c r="S44" s="1001">
        <f>[1]!srIx2Val(S$6,Q44,5)</f>
        <v>34.549999999999997</v>
      </c>
      <c r="T44" s="1001">
        <f t="shared" si="0"/>
        <v>-12844.088110928062</v>
      </c>
      <c r="U44" s="465">
        <f>IF(T44&lt;=0,0,[1]!srRng2E(S$6,T44))</f>
        <v>0</v>
      </c>
      <c r="V44" s="482" t="e">
        <f t="shared" si="1"/>
        <v>#N/A</v>
      </c>
      <c r="W44" s="466">
        <f t="shared" si="2"/>
        <v>1.8939393939393939E-4</v>
      </c>
      <c r="X44" s="466" t="e">
        <f t="shared" si="3"/>
        <v>#N/A</v>
      </c>
      <c r="Y44" s="466">
        <f t="shared" si="4"/>
        <v>2.5000000000000001E-2</v>
      </c>
      <c r="AA44" s="35">
        <f t="shared" si="5"/>
        <v>53</v>
      </c>
      <c r="AB44" s="556">
        <f>[1]!srIx2Val(AC$6,AA44,1)</f>
        <v>2.0000000000000001E-4</v>
      </c>
      <c r="AC44" s="1001">
        <f>[1]!srIx2Val(AC$6,AA44,5)</f>
        <v>20.45</v>
      </c>
      <c r="AD44" s="1001">
        <f t="shared" si="6"/>
        <v>-9406.858053061771</v>
      </c>
      <c r="AE44" s="465">
        <f>IF(AD44&lt;=0,0,[1]!srRng2E(AC$6,AD44))</f>
        <v>0</v>
      </c>
      <c r="AF44" s="466" t="e">
        <f t="shared" si="7"/>
        <v>#N/A</v>
      </c>
      <c r="AG44" s="466">
        <f t="shared" si="8"/>
        <v>2.0000000000000001E-4</v>
      </c>
      <c r="AH44" s="466" t="e">
        <f t="shared" si="9"/>
        <v>#N/A</v>
      </c>
      <c r="AI44" s="466">
        <f t="shared" si="10"/>
        <v>8.0000000000000002E-3</v>
      </c>
    </row>
    <row r="45" spans="2:35" s="9" customFormat="1" ht="12">
      <c r="F45" s="35"/>
      <c r="G45" s="465"/>
      <c r="H45" s="465"/>
      <c r="I45" s="465"/>
      <c r="J45" s="35"/>
      <c r="K45" s="466"/>
      <c r="L45" s="482"/>
      <c r="M45" s="353"/>
      <c r="N45" s="353"/>
      <c r="O45" s="353"/>
      <c r="Q45" s="35">
        <f t="shared" si="11"/>
        <v>54</v>
      </c>
      <c r="R45" s="556">
        <f>[1]!srIx2Val(S$6,Q45,1)</f>
        <v>2.0833333333333335E-4</v>
      </c>
      <c r="S45" s="1001">
        <f>[1]!srIx2Val(S$6,Q45,5)</f>
        <v>36.64</v>
      </c>
      <c r="T45" s="1001">
        <f t="shared" si="0"/>
        <v>-12841.998110928062</v>
      </c>
      <c r="U45" s="465">
        <f>IF(T45&lt;=0,0,[1]!srRng2E(S$6,T45))</f>
        <v>0</v>
      </c>
      <c r="V45" s="482" t="e">
        <f t="shared" si="1"/>
        <v>#N/A</v>
      </c>
      <c r="W45" s="466">
        <f t="shared" si="2"/>
        <v>2.0833333333333335E-4</v>
      </c>
      <c r="X45" s="466" t="e">
        <f t="shared" si="3"/>
        <v>#N/A</v>
      </c>
      <c r="Y45" s="466">
        <f t="shared" si="4"/>
        <v>2.75E-2</v>
      </c>
      <c r="AA45" s="35">
        <f t="shared" si="5"/>
        <v>54</v>
      </c>
      <c r="AB45" s="556">
        <f>[1]!srIx2Val(AC$6,AA45,1)</f>
        <v>2.2499999999999999E-4</v>
      </c>
      <c r="AC45" s="1001">
        <f>[1]!srIx2Val(AC$6,AA45,5)</f>
        <v>22.32</v>
      </c>
      <c r="AD45" s="1001">
        <f t="shared" si="6"/>
        <v>-9404.988053061772</v>
      </c>
      <c r="AE45" s="465">
        <f>IF(AD45&lt;=0,0,[1]!srRng2E(AC$6,AD45))</f>
        <v>0</v>
      </c>
      <c r="AF45" s="466" t="e">
        <f t="shared" si="7"/>
        <v>#N/A</v>
      </c>
      <c r="AG45" s="466">
        <f t="shared" si="8"/>
        <v>2.2499999999999999E-4</v>
      </c>
      <c r="AH45" s="466" t="e">
        <f t="shared" si="9"/>
        <v>#N/A</v>
      </c>
      <c r="AI45" s="466">
        <f t="shared" si="10"/>
        <v>8.9999999999999993E-3</v>
      </c>
    </row>
    <row r="46" spans="2:35" s="9" customFormat="1" ht="12">
      <c r="E46" s="365"/>
      <c r="Q46" s="35">
        <f t="shared" si="11"/>
        <v>55</v>
      </c>
      <c r="R46" s="556">
        <f>[1]!srIx2Val(S$6,Q46,1)</f>
        <v>2.2727272727272727E-4</v>
      </c>
      <c r="S46" s="1001">
        <f>[1]!srIx2Val(S$6,Q46,5)</f>
        <v>38.700000000000003</v>
      </c>
      <c r="T46" s="1001">
        <f t="shared" si="0"/>
        <v>-12839.93811092806</v>
      </c>
      <c r="U46" s="465">
        <f>IF(T46&lt;=0,0,[1]!srRng2E(S$6,T46))</f>
        <v>0</v>
      </c>
      <c r="V46" s="482" t="e">
        <f t="shared" si="1"/>
        <v>#N/A</v>
      </c>
      <c r="W46" s="466">
        <f t="shared" si="2"/>
        <v>2.2727272727272727E-4</v>
      </c>
      <c r="X46" s="466" t="e">
        <f t="shared" si="3"/>
        <v>#N/A</v>
      </c>
      <c r="Y46" s="466">
        <f t="shared" si="4"/>
        <v>0.03</v>
      </c>
      <c r="AA46" s="35">
        <f t="shared" si="5"/>
        <v>55</v>
      </c>
      <c r="AB46" s="556">
        <f>[1]!srIx2Val(AC$6,AA46,1)</f>
        <v>2.5000000000000001E-4</v>
      </c>
      <c r="AC46" s="1001">
        <f>[1]!srIx2Val(AC$6,AA46,5)</f>
        <v>24.16</v>
      </c>
      <c r="AD46" s="1001">
        <f t="shared" si="6"/>
        <v>-9403.1480530617719</v>
      </c>
      <c r="AE46" s="465">
        <f>IF(AD46&lt;=0,0,[1]!srRng2E(AC$6,AD46))</f>
        <v>0</v>
      </c>
      <c r="AF46" s="466" t="e">
        <f t="shared" si="7"/>
        <v>#N/A</v>
      </c>
      <c r="AG46" s="466">
        <f t="shared" si="8"/>
        <v>2.5000000000000001E-4</v>
      </c>
      <c r="AH46" s="466" t="e">
        <f t="shared" si="9"/>
        <v>#N/A</v>
      </c>
      <c r="AI46" s="466">
        <f t="shared" si="10"/>
        <v>0.01</v>
      </c>
    </row>
    <row r="47" spans="2:35" s="9" customFormat="1" ht="12">
      <c r="Q47" s="35">
        <f t="shared" si="11"/>
        <v>56</v>
      </c>
      <c r="R47" s="556">
        <f>[1]!srIx2Val(S$6,Q47,1)</f>
        <v>2.4621212121212123E-4</v>
      </c>
      <c r="S47" s="1001">
        <f>[1]!srIx2Val(S$6,Q47,5)</f>
        <v>40.71</v>
      </c>
      <c r="T47" s="1001">
        <f t="shared" si="0"/>
        <v>-12837.928110928062</v>
      </c>
      <c r="U47" s="465">
        <f>IF(T47&lt;=0,0,[1]!srRng2E(S$6,T47))</f>
        <v>0</v>
      </c>
      <c r="V47" s="482" t="e">
        <f t="shared" si="1"/>
        <v>#N/A</v>
      </c>
      <c r="W47" s="466">
        <f t="shared" si="2"/>
        <v>2.4621212121212123E-4</v>
      </c>
      <c r="X47" s="466" t="e">
        <f t="shared" si="3"/>
        <v>#N/A</v>
      </c>
      <c r="Y47" s="466">
        <f t="shared" si="4"/>
        <v>3.2500000000000001E-2</v>
      </c>
      <c r="AA47" s="35">
        <f t="shared" si="5"/>
        <v>56</v>
      </c>
      <c r="AB47" s="556">
        <f>[1]!srIx2Val(AC$6,AA47,1)</f>
        <v>2.7499999999999996E-4</v>
      </c>
      <c r="AC47" s="1001">
        <f>[1]!srIx2Val(AC$6,AA47,5)</f>
        <v>25.99</v>
      </c>
      <c r="AD47" s="1001">
        <f t="shared" si="6"/>
        <v>-9401.3180530617719</v>
      </c>
      <c r="AE47" s="465">
        <f>IF(AD47&lt;=0,0,[1]!srRng2E(AC$6,AD47))</f>
        <v>0</v>
      </c>
      <c r="AF47" s="466" t="e">
        <f t="shared" si="7"/>
        <v>#N/A</v>
      </c>
      <c r="AG47" s="466">
        <f t="shared" si="8"/>
        <v>2.7499999999999996E-4</v>
      </c>
      <c r="AH47" s="466" t="e">
        <f t="shared" si="9"/>
        <v>#N/A</v>
      </c>
      <c r="AI47" s="466">
        <f t="shared" si="10"/>
        <v>1.0999999999999999E-2</v>
      </c>
    </row>
    <row r="48" spans="2:35" s="9" customFormat="1" ht="12">
      <c r="E48" s="365"/>
      <c r="Q48" s="35">
        <f t="shared" si="11"/>
        <v>57</v>
      </c>
      <c r="R48" s="556">
        <f>[1]!srIx2Val(S$6,Q48,1)</f>
        <v>2.6515151515151518E-4</v>
      </c>
      <c r="S48" s="1001">
        <f>[1]!srIx2Val(S$6,Q48,5)</f>
        <v>42.69</v>
      </c>
      <c r="T48" s="1001">
        <f t="shared" si="0"/>
        <v>-12835.94811092806</v>
      </c>
      <c r="U48" s="465">
        <f>IF(T48&lt;=0,0,[1]!srRng2E(S$6,T48))</f>
        <v>0</v>
      </c>
      <c r="V48" s="482" t="e">
        <f t="shared" si="1"/>
        <v>#N/A</v>
      </c>
      <c r="W48" s="466">
        <f t="shared" si="2"/>
        <v>2.6515151515151518E-4</v>
      </c>
      <c r="X48" s="466" t="e">
        <f t="shared" si="3"/>
        <v>#N/A</v>
      </c>
      <c r="Y48" s="466">
        <f t="shared" si="4"/>
        <v>3.5000000000000003E-2</v>
      </c>
      <c r="AA48" s="35">
        <f t="shared" si="5"/>
        <v>57</v>
      </c>
      <c r="AB48" s="556">
        <f>[1]!srIx2Val(AC$6,AA48,1)</f>
        <v>3.0000000000000003E-4</v>
      </c>
      <c r="AC48" s="1001">
        <f>[1]!srIx2Val(AC$6,AA48,5)</f>
        <v>27.8</v>
      </c>
      <c r="AD48" s="1001">
        <f t="shared" si="6"/>
        <v>-9399.5080530617724</v>
      </c>
      <c r="AE48" s="465">
        <f>IF(AD48&lt;=0,0,[1]!srRng2E(AC$6,AD48))</f>
        <v>0</v>
      </c>
      <c r="AF48" s="466" t="e">
        <f t="shared" si="7"/>
        <v>#N/A</v>
      </c>
      <c r="AG48" s="466">
        <f t="shared" si="8"/>
        <v>3.0000000000000003E-4</v>
      </c>
      <c r="AH48" s="466" t="e">
        <f t="shared" si="9"/>
        <v>#N/A</v>
      </c>
      <c r="AI48" s="466">
        <f t="shared" si="10"/>
        <v>1.2E-2</v>
      </c>
    </row>
    <row r="49" spans="2:35">
      <c r="B49" s="9"/>
      <c r="C49" s="9"/>
      <c r="D49" s="9"/>
      <c r="E49" s="365"/>
      <c r="P49" s="9"/>
      <c r="Q49" s="35">
        <f t="shared" si="11"/>
        <v>58</v>
      </c>
      <c r="R49" s="556">
        <f>[1]!srIx2Val(S$6,Q49,1)</f>
        <v>2.8409090909090908E-4</v>
      </c>
      <c r="S49" s="1001">
        <f>[1]!srIx2Val(S$6,Q49,5)</f>
        <v>44.63</v>
      </c>
      <c r="T49" s="1001">
        <f t="shared" si="0"/>
        <v>-12834.008110928062</v>
      </c>
      <c r="U49" s="465">
        <f>IF(T49&lt;=0,0,[1]!srRng2E(S$6,T49))</f>
        <v>0</v>
      </c>
      <c r="V49" s="482" t="e">
        <f t="shared" si="1"/>
        <v>#N/A</v>
      </c>
      <c r="W49" s="466">
        <f t="shared" si="2"/>
        <v>2.8409090909090908E-4</v>
      </c>
      <c r="X49" s="466" t="e">
        <f t="shared" si="3"/>
        <v>#N/A</v>
      </c>
      <c r="Y49" s="466">
        <f t="shared" si="4"/>
        <v>3.7499999999999999E-2</v>
      </c>
      <c r="AA49" s="35">
        <f t="shared" si="5"/>
        <v>58</v>
      </c>
      <c r="AB49" s="556">
        <f>[1]!srIx2Val(AC$6,AA49,1)</f>
        <v>3.2499999999999999E-4</v>
      </c>
      <c r="AC49" s="1001">
        <f>[1]!srIx2Val(AC$6,AA49,5)</f>
        <v>29.59</v>
      </c>
      <c r="AD49" s="1001">
        <f t="shared" si="6"/>
        <v>-9397.7180530617716</v>
      </c>
      <c r="AE49" s="465">
        <f>IF(AD49&lt;=0,0,[1]!srRng2E(AC$6,AD49))</f>
        <v>0</v>
      </c>
      <c r="AF49" s="466" t="e">
        <f t="shared" si="7"/>
        <v>#N/A</v>
      </c>
      <c r="AG49" s="466">
        <f t="shared" si="8"/>
        <v>3.2499999999999999E-4</v>
      </c>
      <c r="AH49" s="466" t="e">
        <f t="shared" si="9"/>
        <v>#N/A</v>
      </c>
      <c r="AI49" s="466">
        <f t="shared" si="10"/>
        <v>1.2999999999999999E-2</v>
      </c>
    </row>
    <row r="50" spans="2:35">
      <c r="B50" s="9"/>
      <c r="C50" s="9"/>
      <c r="D50" s="9"/>
      <c r="P50" s="9"/>
      <c r="Q50" s="35">
        <f t="shared" si="11"/>
        <v>59</v>
      </c>
      <c r="R50" s="556">
        <f>[1]!srIx2Val(S$6,Q50,1)</f>
        <v>3.0303030303030303E-4</v>
      </c>
      <c r="S50" s="1001">
        <f>[1]!srIx2Val(S$6,Q50,5)</f>
        <v>46.55</v>
      </c>
      <c r="T50" s="1001">
        <f t="shared" si="0"/>
        <v>-12832.088110928062</v>
      </c>
      <c r="U50" s="465">
        <f>IF(T50&lt;=0,0,[1]!srRng2E(S$6,T50))</f>
        <v>0</v>
      </c>
      <c r="V50" s="482" t="e">
        <f t="shared" si="1"/>
        <v>#N/A</v>
      </c>
      <c r="W50" s="466">
        <f t="shared" si="2"/>
        <v>3.0303030303030303E-4</v>
      </c>
      <c r="X50" s="466" t="e">
        <f t="shared" si="3"/>
        <v>#N/A</v>
      </c>
      <c r="Y50" s="466">
        <f t="shared" si="4"/>
        <v>0.04</v>
      </c>
      <c r="AA50" s="35">
        <f t="shared" si="5"/>
        <v>59</v>
      </c>
      <c r="AB50" s="556">
        <f>[1]!srIx2Val(AC$6,AA50,1)</f>
        <v>3.5E-4</v>
      </c>
      <c r="AC50" s="1001">
        <f>[1]!srIx2Val(AC$6,AA50,5)</f>
        <v>31.38</v>
      </c>
      <c r="AD50" s="1001">
        <f t="shared" si="6"/>
        <v>-9395.9280530617725</v>
      </c>
      <c r="AE50" s="465">
        <f>IF(AD50&lt;=0,0,[1]!srRng2E(AC$6,AD50))</f>
        <v>0</v>
      </c>
      <c r="AF50" s="466" t="e">
        <f t="shared" si="7"/>
        <v>#N/A</v>
      </c>
      <c r="AG50" s="466">
        <f t="shared" si="8"/>
        <v>3.5E-4</v>
      </c>
      <c r="AH50" s="466" t="e">
        <f t="shared" si="9"/>
        <v>#N/A</v>
      </c>
      <c r="AI50" s="466">
        <f t="shared" si="10"/>
        <v>1.4E-2</v>
      </c>
    </row>
    <row r="51" spans="2:35">
      <c r="B51" s="9"/>
      <c r="C51" s="9"/>
      <c r="D51" s="9"/>
      <c r="P51" s="9"/>
      <c r="Q51" s="35">
        <f t="shared" si="11"/>
        <v>60</v>
      </c>
      <c r="R51" s="556">
        <f>[1]!srIx2Val(S$6,Q51,1)</f>
        <v>3.4090909090909088E-4</v>
      </c>
      <c r="S51" s="1001">
        <f>[1]!srIx2Val(S$6,Q51,5)</f>
        <v>50.32</v>
      </c>
      <c r="T51" s="1001">
        <f t="shared" si="0"/>
        <v>-12828.318110928061</v>
      </c>
      <c r="U51" s="465">
        <f>IF(T51&lt;=0,0,[1]!srRng2E(S$6,T51))</f>
        <v>0</v>
      </c>
      <c r="V51" s="482" t="e">
        <f t="shared" si="1"/>
        <v>#N/A</v>
      </c>
      <c r="W51" s="466">
        <f t="shared" si="2"/>
        <v>3.4090909090909088E-4</v>
      </c>
      <c r="X51" s="466" t="e">
        <f t="shared" si="3"/>
        <v>#N/A</v>
      </c>
      <c r="Y51" s="466">
        <f t="shared" si="4"/>
        <v>4.4999999999999998E-2</v>
      </c>
      <c r="AA51" s="35">
        <f t="shared" si="5"/>
        <v>60</v>
      </c>
      <c r="AB51" s="556">
        <f>[1]!srIx2Val(AC$6,AA51,1)</f>
        <v>3.7500000000000001E-4</v>
      </c>
      <c r="AC51" s="1001">
        <f>[1]!srIx2Val(AC$6,AA51,5)</f>
        <v>33.15</v>
      </c>
      <c r="AD51" s="1001">
        <f t="shared" si="6"/>
        <v>-9394.1580530617721</v>
      </c>
      <c r="AE51" s="465">
        <f>IF(AD51&lt;=0,0,[1]!srRng2E(AC$6,AD51))</f>
        <v>0</v>
      </c>
      <c r="AF51" s="466" t="e">
        <f t="shared" si="7"/>
        <v>#N/A</v>
      </c>
      <c r="AG51" s="466">
        <f t="shared" si="8"/>
        <v>3.7500000000000001E-4</v>
      </c>
      <c r="AH51" s="466" t="e">
        <f t="shared" si="9"/>
        <v>#N/A</v>
      </c>
      <c r="AI51" s="466">
        <f t="shared" si="10"/>
        <v>1.4999999999999999E-2</v>
      </c>
    </row>
    <row r="52" spans="2:35">
      <c r="B52" s="9"/>
      <c r="C52" s="9"/>
      <c r="D52" s="9"/>
      <c r="P52" s="9"/>
      <c r="Q52" s="35">
        <f t="shared" si="11"/>
        <v>61</v>
      </c>
      <c r="R52" s="556">
        <f>[1]!srIx2Val(S$6,Q52,1)</f>
        <v>3.7878787878787879E-4</v>
      </c>
      <c r="S52" s="1001">
        <f>[1]!srIx2Val(S$6,Q52,5)</f>
        <v>54.01</v>
      </c>
      <c r="T52" s="1001">
        <f t="shared" si="0"/>
        <v>-12824.628110928061</v>
      </c>
      <c r="U52" s="465">
        <f>IF(T52&lt;=0,0,[1]!srRng2E(S$6,T52))</f>
        <v>0</v>
      </c>
      <c r="V52" s="482" t="e">
        <f t="shared" si="1"/>
        <v>#N/A</v>
      </c>
      <c r="W52" s="466">
        <f t="shared" si="2"/>
        <v>3.7878787878787879E-4</v>
      </c>
      <c r="X52" s="466" t="e">
        <f t="shared" si="3"/>
        <v>#N/A</v>
      </c>
      <c r="Y52" s="466">
        <f t="shared" si="4"/>
        <v>0.05</v>
      </c>
      <c r="AA52" s="35">
        <f t="shared" si="5"/>
        <v>61</v>
      </c>
      <c r="AB52" s="556">
        <f>[1]!srIx2Val(AC$6,AA52,1)</f>
        <v>4.0000000000000002E-4</v>
      </c>
      <c r="AC52" s="1001">
        <f>[1]!srIx2Val(AC$6,AA52,5)</f>
        <v>34.92</v>
      </c>
      <c r="AD52" s="1001">
        <f t="shared" si="6"/>
        <v>-9392.3880530617716</v>
      </c>
      <c r="AE52" s="465">
        <f>IF(AD52&lt;=0,0,[1]!srRng2E(AC$6,AD52))</f>
        <v>0</v>
      </c>
      <c r="AF52" s="466" t="e">
        <f t="shared" si="7"/>
        <v>#N/A</v>
      </c>
      <c r="AG52" s="466">
        <f t="shared" si="8"/>
        <v>4.0000000000000002E-4</v>
      </c>
      <c r="AH52" s="466" t="e">
        <f t="shared" si="9"/>
        <v>#N/A</v>
      </c>
      <c r="AI52" s="466">
        <f t="shared" si="10"/>
        <v>1.6E-2</v>
      </c>
    </row>
    <row r="53" spans="2:35">
      <c r="B53" s="9"/>
      <c r="C53" s="9"/>
      <c r="D53" s="9"/>
      <c r="P53" s="9"/>
      <c r="Q53" s="35">
        <f t="shared" si="11"/>
        <v>62</v>
      </c>
      <c r="R53" s="556">
        <f>[1]!srIx2Val(S$6,Q53,1)</f>
        <v>4.1666666666666669E-4</v>
      </c>
      <c r="S53" s="1001">
        <f>[1]!srIx2Val(S$6,Q53,5)</f>
        <v>57.63</v>
      </c>
      <c r="T53" s="1001">
        <f t="shared" si="0"/>
        <v>-12821.008110928062</v>
      </c>
      <c r="U53" s="465">
        <f>IF(T53&lt;=0,0,[1]!srRng2E(S$6,T53))</f>
        <v>0</v>
      </c>
      <c r="V53" s="482" t="e">
        <f t="shared" si="1"/>
        <v>#N/A</v>
      </c>
      <c r="W53" s="466">
        <f t="shared" si="2"/>
        <v>4.1666666666666669E-4</v>
      </c>
      <c r="X53" s="466" t="e">
        <f t="shared" si="3"/>
        <v>#N/A</v>
      </c>
      <c r="Y53" s="466">
        <f t="shared" si="4"/>
        <v>5.5E-2</v>
      </c>
      <c r="AA53" s="35">
        <f t="shared" si="5"/>
        <v>62</v>
      </c>
      <c r="AB53" s="556">
        <f>[1]!srIx2Val(AC$6,AA53,1)</f>
        <v>4.2500000000000003E-4</v>
      </c>
      <c r="AC53" s="1001">
        <f>[1]!srIx2Val(AC$6,AA53,5)</f>
        <v>36.68</v>
      </c>
      <c r="AD53" s="1001">
        <f t="shared" si="6"/>
        <v>-9390.6280530617714</v>
      </c>
      <c r="AE53" s="465">
        <f>IF(AD53&lt;=0,0,[1]!srRng2E(AC$6,AD53))</f>
        <v>0</v>
      </c>
      <c r="AF53" s="466" t="e">
        <f t="shared" si="7"/>
        <v>#N/A</v>
      </c>
      <c r="AG53" s="466">
        <f t="shared" si="8"/>
        <v>4.2500000000000003E-4</v>
      </c>
      <c r="AH53" s="466" t="e">
        <f t="shared" si="9"/>
        <v>#N/A</v>
      </c>
      <c r="AI53" s="466">
        <f t="shared" si="10"/>
        <v>1.7000000000000001E-2</v>
      </c>
    </row>
    <row r="54" spans="2:35">
      <c r="B54" s="9"/>
      <c r="C54" s="9"/>
      <c r="D54" s="9"/>
      <c r="P54" s="9"/>
      <c r="Q54" s="35">
        <f t="shared" si="11"/>
        <v>63</v>
      </c>
      <c r="R54" s="556">
        <f>[1]!srIx2Val(S$6,Q54,1)</f>
        <v>4.5454545454545455E-4</v>
      </c>
      <c r="S54" s="1001">
        <f>[1]!srIx2Val(S$6,Q54,5)</f>
        <v>61.19</v>
      </c>
      <c r="T54" s="1001">
        <f t="shared" si="0"/>
        <v>-12817.44811092806</v>
      </c>
      <c r="U54" s="465">
        <f>IF(T54&lt;=0,0,[1]!srRng2E(S$6,T54))</f>
        <v>0</v>
      </c>
      <c r="V54" s="482" t="e">
        <f t="shared" si="1"/>
        <v>#N/A</v>
      </c>
      <c r="W54" s="466">
        <f t="shared" si="2"/>
        <v>4.5454545454545455E-4</v>
      </c>
      <c r="X54" s="466" t="e">
        <f t="shared" si="3"/>
        <v>#N/A</v>
      </c>
      <c r="Y54" s="466">
        <f t="shared" si="4"/>
        <v>0.06</v>
      </c>
      <c r="AA54" s="35">
        <f t="shared" si="5"/>
        <v>63</v>
      </c>
      <c r="AB54" s="556">
        <f>[1]!srIx2Val(AC$6,AA54,1)</f>
        <v>4.4999999999999999E-4</v>
      </c>
      <c r="AC54" s="1001">
        <f>[1]!srIx2Val(AC$6,AA54,5)</f>
        <v>38.43</v>
      </c>
      <c r="AD54" s="1001">
        <f t="shared" si="6"/>
        <v>-9388.8780530617714</v>
      </c>
      <c r="AE54" s="465">
        <f>IF(AD54&lt;=0,0,[1]!srRng2E(AC$6,AD54))</f>
        <v>0</v>
      </c>
      <c r="AF54" s="466" t="e">
        <f t="shared" si="7"/>
        <v>#N/A</v>
      </c>
      <c r="AG54" s="466">
        <f t="shared" si="8"/>
        <v>4.4999999999999999E-4</v>
      </c>
      <c r="AH54" s="466" t="e">
        <f t="shared" si="9"/>
        <v>#N/A</v>
      </c>
      <c r="AI54" s="466">
        <f t="shared" si="10"/>
        <v>1.7999999999999999E-2</v>
      </c>
    </row>
    <row r="55" spans="2:35">
      <c r="B55" s="9"/>
      <c r="C55" s="9"/>
      <c r="D55" s="9"/>
      <c r="P55" s="9"/>
      <c r="Q55" s="35">
        <f t="shared" si="11"/>
        <v>64</v>
      </c>
      <c r="R55" s="556">
        <f>[1]!srIx2Val(S$6,Q55,1)</f>
        <v>4.9242424242424245E-4</v>
      </c>
      <c r="S55" s="1001">
        <f>[1]!srIx2Val(S$6,Q55,5)</f>
        <v>64.7</v>
      </c>
      <c r="T55" s="1001">
        <f t="shared" si="0"/>
        <v>-12813.93811092806</v>
      </c>
      <c r="U55" s="465">
        <f>IF(T55&lt;=0,0,[1]!srRng2E(S$6,T55))</f>
        <v>0</v>
      </c>
      <c r="V55" s="482" t="e">
        <f t="shared" si="1"/>
        <v>#N/A</v>
      </c>
      <c r="W55" s="466">
        <f t="shared" si="2"/>
        <v>4.9242424242424245E-4</v>
      </c>
      <c r="X55" s="466" t="e">
        <f t="shared" si="3"/>
        <v>#N/A</v>
      </c>
      <c r="Y55" s="466">
        <f t="shared" si="4"/>
        <v>6.5000000000000002E-2</v>
      </c>
      <c r="AA55" s="35">
        <f t="shared" si="5"/>
        <v>64</v>
      </c>
      <c r="AB55" s="556">
        <f>[1]!srIx2Val(AC$6,AA55,1)</f>
        <v>5.0000000000000001E-4</v>
      </c>
      <c r="AC55" s="1001">
        <f>[1]!srIx2Val(AC$6,AA55,5)</f>
        <v>41.93</v>
      </c>
      <c r="AD55" s="1001">
        <f t="shared" si="6"/>
        <v>-9385.3780530617714</v>
      </c>
      <c r="AE55" s="465">
        <f>IF(AD55&lt;=0,0,[1]!srRng2E(AC$6,AD55))</f>
        <v>0</v>
      </c>
      <c r="AF55" s="466" t="e">
        <f t="shared" si="7"/>
        <v>#N/A</v>
      </c>
      <c r="AG55" s="466">
        <f t="shared" si="8"/>
        <v>5.0000000000000001E-4</v>
      </c>
      <c r="AH55" s="466" t="e">
        <f t="shared" si="9"/>
        <v>#N/A</v>
      </c>
      <c r="AI55" s="466">
        <f t="shared" si="10"/>
        <v>0.02</v>
      </c>
    </row>
    <row r="56" spans="2:35">
      <c r="Q56" s="35">
        <f t="shared" si="11"/>
        <v>65</v>
      </c>
      <c r="R56" s="556">
        <f>[1]!srIx2Val(S$6,Q56,1)</f>
        <v>5.3030303030303036E-4</v>
      </c>
      <c r="S56" s="1001">
        <f>[1]!srIx2Val(S$6,Q56,5)</f>
        <v>68.17</v>
      </c>
      <c r="T56" s="1001">
        <f t="shared" si="0"/>
        <v>-12810.468110928061</v>
      </c>
      <c r="U56" s="465">
        <f>IF(T56&lt;=0,0,[1]!srRng2E(S$6,T56))</f>
        <v>0</v>
      </c>
      <c r="V56" s="482" t="e">
        <f t="shared" si="1"/>
        <v>#N/A</v>
      </c>
      <c r="W56" s="466">
        <f t="shared" si="2"/>
        <v>5.3030303030303036E-4</v>
      </c>
      <c r="X56" s="466" t="e">
        <f t="shared" si="3"/>
        <v>#N/A</v>
      </c>
      <c r="Y56" s="466">
        <f t="shared" si="4"/>
        <v>7.0000000000000007E-2</v>
      </c>
      <c r="AA56" s="35">
        <f t="shared" si="5"/>
        <v>65</v>
      </c>
      <c r="AB56" s="556">
        <f>[1]!srIx2Val(AC$6,AA56,1)</f>
        <v>5.6249999999999996E-4</v>
      </c>
      <c r="AC56" s="1001">
        <f>[1]!srIx2Val(AC$6,AA56,5)</f>
        <v>46.29</v>
      </c>
      <c r="AD56" s="1001">
        <f t="shared" si="6"/>
        <v>-9381.0180530617708</v>
      </c>
      <c r="AE56" s="465">
        <f>IF(AD56&lt;=0,0,[1]!srRng2E(AC$6,AD56))</f>
        <v>0</v>
      </c>
      <c r="AF56" s="466" t="e">
        <f t="shared" si="7"/>
        <v>#N/A</v>
      </c>
      <c r="AG56" s="466">
        <f t="shared" si="8"/>
        <v>5.6249999999999996E-4</v>
      </c>
      <c r="AH56" s="466" t="e">
        <f t="shared" si="9"/>
        <v>#N/A</v>
      </c>
      <c r="AI56" s="466">
        <f t="shared" si="10"/>
        <v>2.2499999999999999E-2</v>
      </c>
    </row>
    <row r="57" spans="2:35">
      <c r="Q57" s="35">
        <f t="shared" si="11"/>
        <v>66</v>
      </c>
      <c r="R57" s="556">
        <f>[1]!srIx2Val(S$6,Q57,1)</f>
        <v>6.0606060606060606E-4</v>
      </c>
      <c r="S57" s="1001">
        <f>[1]!srIx2Val(S$6,Q57,5)</f>
        <v>75.010000000000005</v>
      </c>
      <c r="T57" s="1001">
        <f t="shared" si="0"/>
        <v>-12803.628110928061</v>
      </c>
      <c r="U57" s="465">
        <f>IF(T57&lt;=0,0,[1]!srRng2E(S$6,T57))</f>
        <v>0</v>
      </c>
      <c r="V57" s="482" t="e">
        <f t="shared" si="1"/>
        <v>#N/A</v>
      </c>
      <c r="W57" s="466">
        <f t="shared" si="2"/>
        <v>6.0606060606060606E-4</v>
      </c>
      <c r="X57" s="466" t="e">
        <f t="shared" si="3"/>
        <v>#N/A</v>
      </c>
      <c r="Y57" s="466">
        <f t="shared" si="4"/>
        <v>0.08</v>
      </c>
      <c r="AA57" s="35">
        <f t="shared" si="5"/>
        <v>66</v>
      </c>
      <c r="AB57" s="556">
        <f>[1]!srIx2Val(AC$6,AA57,1)</f>
        <v>6.2500000000000001E-4</v>
      </c>
      <c r="AC57" s="1001">
        <f>[1]!srIx2Val(AC$6,AA57,5)</f>
        <v>50.63</v>
      </c>
      <c r="AD57" s="1001">
        <f t="shared" si="6"/>
        <v>-9376.6780530617725</v>
      </c>
      <c r="AE57" s="465">
        <f>IF(AD57&lt;=0,0,[1]!srRng2E(AC$6,AD57))</f>
        <v>0</v>
      </c>
      <c r="AF57" s="466" t="e">
        <f t="shared" si="7"/>
        <v>#N/A</v>
      </c>
      <c r="AG57" s="466">
        <f t="shared" si="8"/>
        <v>6.2500000000000001E-4</v>
      </c>
      <c r="AH57" s="466" t="e">
        <f t="shared" si="9"/>
        <v>#N/A</v>
      </c>
      <c r="AI57" s="466">
        <f t="shared" si="10"/>
        <v>2.5000000000000001E-2</v>
      </c>
    </row>
    <row r="58" spans="2:35">
      <c r="Q58" s="35">
        <f t="shared" si="11"/>
        <v>67</v>
      </c>
      <c r="R58" s="556">
        <f>[1]!srIx2Val(S$6,Q58,1)</f>
        <v>6.8181818181818176E-4</v>
      </c>
      <c r="S58" s="1001">
        <f>[1]!srIx2Val(S$6,Q58,5)</f>
        <v>81.72</v>
      </c>
      <c r="T58" s="1001">
        <f t="shared" si="0"/>
        <v>-12796.918110928062</v>
      </c>
      <c r="U58" s="465">
        <f>IF(T58&lt;=0,0,[1]!srRng2E(S$6,T58))</f>
        <v>0</v>
      </c>
      <c r="V58" s="482" t="e">
        <f t="shared" si="1"/>
        <v>#N/A</v>
      </c>
      <c r="W58" s="466">
        <f t="shared" si="2"/>
        <v>6.8181818181818176E-4</v>
      </c>
      <c r="X58" s="466" t="e">
        <f t="shared" si="3"/>
        <v>#N/A</v>
      </c>
      <c r="Y58" s="466">
        <f t="shared" si="4"/>
        <v>0.09</v>
      </c>
      <c r="AA58" s="35">
        <f t="shared" si="5"/>
        <v>67</v>
      </c>
      <c r="AB58" s="556">
        <f>[1]!srIx2Val(AC$6,AA58,1)</f>
        <v>6.8749999999999996E-4</v>
      </c>
      <c r="AC58" s="1001">
        <f>[1]!srIx2Val(AC$6,AA58,5)</f>
        <v>54.97</v>
      </c>
      <c r="AD58" s="1001">
        <f t="shared" si="6"/>
        <v>-9372.3380530617724</v>
      </c>
      <c r="AE58" s="465">
        <f>IF(AD58&lt;=0,0,[1]!srRng2E(AC$6,AD58))</f>
        <v>0</v>
      </c>
      <c r="AF58" s="466" t="e">
        <f t="shared" si="7"/>
        <v>#N/A</v>
      </c>
      <c r="AG58" s="466">
        <f t="shared" si="8"/>
        <v>6.8749999999999996E-4</v>
      </c>
      <c r="AH58" s="466" t="e">
        <f t="shared" si="9"/>
        <v>#N/A</v>
      </c>
      <c r="AI58" s="466">
        <f t="shared" si="10"/>
        <v>2.7499999999999997E-2</v>
      </c>
    </row>
    <row r="59" spans="2:35">
      <c r="Q59" s="35">
        <f t="shared" si="11"/>
        <v>68</v>
      </c>
      <c r="R59" s="556">
        <f>[1]!srIx2Val(S$6,Q59,1)</f>
        <v>7.5757575757575758E-4</v>
      </c>
      <c r="S59" s="1001">
        <f>[1]!srIx2Val(S$6,Q59,5)</f>
        <v>88.35</v>
      </c>
      <c r="T59" s="1001">
        <f t="shared" si="0"/>
        <v>-12790.288110928061</v>
      </c>
      <c r="U59" s="465">
        <f>IF(T59&lt;=0,0,[1]!srRng2E(S$6,T59))</f>
        <v>0</v>
      </c>
      <c r="V59" s="482" t="e">
        <f t="shared" si="1"/>
        <v>#N/A</v>
      </c>
      <c r="W59" s="466">
        <f t="shared" si="2"/>
        <v>7.5757575757575758E-4</v>
      </c>
      <c r="X59" s="466" t="e">
        <f t="shared" si="3"/>
        <v>#N/A</v>
      </c>
      <c r="Y59" s="466">
        <f t="shared" si="4"/>
        <v>0.1</v>
      </c>
      <c r="AA59" s="35">
        <f t="shared" si="5"/>
        <v>68</v>
      </c>
      <c r="AB59" s="556">
        <f>[1]!srIx2Val(AC$6,AA59,1)</f>
        <v>7.5000000000000002E-4</v>
      </c>
      <c r="AC59" s="1001">
        <f>[1]!srIx2Val(AC$6,AA59,5)</f>
        <v>59.31</v>
      </c>
      <c r="AD59" s="1001">
        <f t="shared" si="6"/>
        <v>-9367.9980530617722</v>
      </c>
      <c r="AE59" s="465">
        <f>IF(AD59&lt;=0,0,[1]!srRng2E(AC$6,AD59))</f>
        <v>0</v>
      </c>
      <c r="AF59" s="466" t="e">
        <f t="shared" si="7"/>
        <v>#N/A</v>
      </c>
      <c r="AG59" s="466">
        <f t="shared" si="8"/>
        <v>7.5000000000000002E-4</v>
      </c>
      <c r="AH59" s="466" t="e">
        <f t="shared" si="9"/>
        <v>#N/A</v>
      </c>
      <c r="AI59" s="466">
        <f t="shared" si="10"/>
        <v>0.03</v>
      </c>
    </row>
    <row r="60" spans="2:35">
      <c r="Q60" s="35">
        <f t="shared" si="11"/>
        <v>69</v>
      </c>
      <c r="R60" s="556">
        <f>[1]!srIx2Val(S$6,Q60,1)</f>
        <v>8.3333333333333339E-4</v>
      </c>
      <c r="S60" s="1001">
        <f>[1]!srIx2Val(S$6,Q60,5)</f>
        <v>94.9</v>
      </c>
      <c r="T60" s="1001">
        <f t="shared" si="0"/>
        <v>-12783.738110928061</v>
      </c>
      <c r="U60" s="465">
        <f>IF(T60&lt;=0,0,[1]!srRng2E(S$6,T60))</f>
        <v>0</v>
      </c>
      <c r="V60" s="482" t="e">
        <f t="shared" si="1"/>
        <v>#N/A</v>
      </c>
      <c r="W60" s="466">
        <f t="shared" si="2"/>
        <v>8.3333333333333339E-4</v>
      </c>
      <c r="X60" s="466" t="e">
        <f t="shared" si="3"/>
        <v>#N/A</v>
      </c>
      <c r="Y60" s="466">
        <f t="shared" si="4"/>
        <v>0.11</v>
      </c>
      <c r="AA60" s="35">
        <f t="shared" si="5"/>
        <v>69</v>
      </c>
      <c r="AB60" s="556">
        <f>[1]!srIx2Val(AC$6,AA60,1)</f>
        <v>8.1250000000000007E-4</v>
      </c>
      <c r="AC60" s="1001">
        <f>[1]!srIx2Val(AC$6,AA60,5)</f>
        <v>63.65</v>
      </c>
      <c r="AD60" s="1001">
        <f t="shared" si="6"/>
        <v>-9363.6580530617721</v>
      </c>
      <c r="AE60" s="465">
        <f>IF(AD60&lt;=0,0,[1]!srRng2E(AC$6,AD60))</f>
        <v>0</v>
      </c>
      <c r="AF60" s="466" t="e">
        <f t="shared" si="7"/>
        <v>#N/A</v>
      </c>
      <c r="AG60" s="466">
        <f t="shared" si="8"/>
        <v>8.1250000000000007E-4</v>
      </c>
      <c r="AH60" s="466" t="e">
        <f t="shared" si="9"/>
        <v>#N/A</v>
      </c>
      <c r="AI60" s="466">
        <f t="shared" si="10"/>
        <v>3.2500000000000001E-2</v>
      </c>
    </row>
    <row r="61" spans="2:35">
      <c r="Q61" s="35">
        <f t="shared" si="11"/>
        <v>70</v>
      </c>
      <c r="R61" s="556">
        <f>[1]!srIx2Val(S$6,Q61,1)</f>
        <v>9.0909090909090909E-4</v>
      </c>
      <c r="S61" s="1001">
        <f>[1]!srIx2Val(S$6,Q61,5)</f>
        <v>101.39</v>
      </c>
      <c r="T61" s="1001">
        <f t="shared" si="0"/>
        <v>-12777.248110928062</v>
      </c>
      <c r="U61" s="465">
        <f>IF(T61&lt;=0,0,[1]!srRng2E(S$6,T61))</f>
        <v>0</v>
      </c>
      <c r="V61" s="482" t="e">
        <f t="shared" si="1"/>
        <v>#N/A</v>
      </c>
      <c r="W61" s="466">
        <f t="shared" si="2"/>
        <v>9.0909090909090909E-4</v>
      </c>
      <c r="X61" s="466" t="e">
        <f t="shared" si="3"/>
        <v>#N/A</v>
      </c>
      <c r="Y61" s="466">
        <f t="shared" si="4"/>
        <v>0.12</v>
      </c>
      <c r="AA61" s="35">
        <f t="shared" si="5"/>
        <v>70</v>
      </c>
      <c r="AB61" s="556">
        <f>[1]!srIx2Val(AC$6,AA61,1)</f>
        <v>8.7500000000000013E-4</v>
      </c>
      <c r="AC61" s="1001">
        <f>[1]!srIx2Val(AC$6,AA61,5)</f>
        <v>67.989999999999995</v>
      </c>
      <c r="AD61" s="1001">
        <f t="shared" si="6"/>
        <v>-9359.3180530617719</v>
      </c>
      <c r="AE61" s="465">
        <f>IF(AD61&lt;=0,0,[1]!srRng2E(AC$6,AD61))</f>
        <v>0</v>
      </c>
      <c r="AF61" s="466" t="e">
        <f t="shared" si="7"/>
        <v>#N/A</v>
      </c>
      <c r="AG61" s="466">
        <f t="shared" si="8"/>
        <v>8.7500000000000013E-4</v>
      </c>
      <c r="AH61" s="466" t="e">
        <f t="shared" si="9"/>
        <v>#N/A</v>
      </c>
      <c r="AI61" s="466">
        <f t="shared" si="10"/>
        <v>3.5000000000000003E-2</v>
      </c>
    </row>
    <row r="62" spans="2:35">
      <c r="Q62" s="35">
        <f t="shared" si="11"/>
        <v>71</v>
      </c>
      <c r="R62" s="556">
        <f>[1]!srIx2Val(S$6,Q62,1)</f>
        <v>9.848484848484849E-4</v>
      </c>
      <c r="S62" s="1001">
        <f>[1]!srIx2Val(S$6,Q62,5)</f>
        <v>107.83</v>
      </c>
      <c r="T62" s="1001">
        <f t="shared" si="0"/>
        <v>-12770.808110928061</v>
      </c>
      <c r="U62" s="465">
        <f>IF(T62&lt;=0,0,[1]!srRng2E(S$6,T62))</f>
        <v>0</v>
      </c>
      <c r="V62" s="482" t="e">
        <f t="shared" si="1"/>
        <v>#N/A</v>
      </c>
      <c r="W62" s="466">
        <f t="shared" si="2"/>
        <v>9.848484848484849E-4</v>
      </c>
      <c r="X62" s="466" t="e">
        <f t="shared" si="3"/>
        <v>#N/A</v>
      </c>
      <c r="Y62" s="466">
        <f t="shared" si="4"/>
        <v>0.13</v>
      </c>
      <c r="AA62" s="35">
        <f t="shared" si="5"/>
        <v>71</v>
      </c>
      <c r="AB62" s="556">
        <f>[1]!srIx2Val(AC$6,AA62,1)</f>
        <v>9.3749999999999997E-4</v>
      </c>
      <c r="AC62" s="1001">
        <f>[1]!srIx2Val(AC$6,AA62,5)</f>
        <v>72.33</v>
      </c>
      <c r="AD62" s="1001">
        <f t="shared" si="6"/>
        <v>-9354.9780530617718</v>
      </c>
      <c r="AE62" s="465">
        <f>IF(AD62&lt;=0,0,[1]!srRng2E(AC$6,AD62))</f>
        <v>0</v>
      </c>
      <c r="AF62" s="466" t="e">
        <f t="shared" si="7"/>
        <v>#N/A</v>
      </c>
      <c r="AG62" s="466">
        <f t="shared" si="8"/>
        <v>9.3749999999999997E-4</v>
      </c>
      <c r="AH62" s="466" t="e">
        <f t="shared" si="9"/>
        <v>#N/A</v>
      </c>
      <c r="AI62" s="466">
        <f t="shared" si="10"/>
        <v>3.7499999999999999E-2</v>
      </c>
    </row>
    <row r="63" spans="2:35">
      <c r="Q63" s="35">
        <f t="shared" si="11"/>
        <v>72</v>
      </c>
      <c r="R63" s="556">
        <f>[1]!srIx2Val(S$6,Q63,1)</f>
        <v>1.0606060606060607E-3</v>
      </c>
      <c r="S63" s="1001">
        <f>[1]!srIx2Val(S$6,Q63,5)</f>
        <v>114.23</v>
      </c>
      <c r="T63" s="1001">
        <f t="shared" si="0"/>
        <v>-12764.408110928061</v>
      </c>
      <c r="U63" s="465">
        <f>IF(T63&lt;=0,0,[1]!srRng2E(S$6,T63))</f>
        <v>0</v>
      </c>
      <c r="V63" s="482" t="e">
        <f t="shared" si="1"/>
        <v>#N/A</v>
      </c>
      <c r="W63" s="466">
        <f t="shared" si="2"/>
        <v>1.0606060606060607E-3</v>
      </c>
      <c r="X63" s="466" t="e">
        <f t="shared" si="3"/>
        <v>#N/A</v>
      </c>
      <c r="Y63" s="466">
        <f t="shared" si="4"/>
        <v>0.14000000000000001</v>
      </c>
      <c r="AA63" s="35">
        <f t="shared" si="5"/>
        <v>72</v>
      </c>
      <c r="AB63" s="556">
        <f>[1]!srIx2Val(AC$6,AA63,1)</f>
        <v>1E-3</v>
      </c>
      <c r="AC63" s="1001">
        <f>[1]!srIx2Val(AC$6,AA63,5)</f>
        <v>76.69</v>
      </c>
      <c r="AD63" s="1001">
        <f t="shared" si="6"/>
        <v>-9350.6180530617712</v>
      </c>
      <c r="AE63" s="465">
        <f>IF(AD63&lt;=0,0,[1]!srRng2E(AC$6,AD63))</f>
        <v>0</v>
      </c>
      <c r="AF63" s="466" t="e">
        <f t="shared" si="7"/>
        <v>#N/A</v>
      </c>
      <c r="AG63" s="466">
        <f t="shared" si="8"/>
        <v>1E-3</v>
      </c>
      <c r="AH63" s="466" t="e">
        <f t="shared" si="9"/>
        <v>#N/A</v>
      </c>
      <c r="AI63" s="466">
        <f t="shared" si="10"/>
        <v>0.04</v>
      </c>
    </row>
    <row r="64" spans="2:35">
      <c r="Q64" s="35">
        <f t="shared" si="11"/>
        <v>73</v>
      </c>
      <c r="R64" s="556">
        <f>[1]!srIx2Val(S$6,Q64,1)</f>
        <v>1.1363636363636363E-3</v>
      </c>
      <c r="S64" s="1001">
        <f>[1]!srIx2Val(S$6,Q64,5)</f>
        <v>120.59</v>
      </c>
      <c r="T64" s="1001">
        <f t="shared" si="0"/>
        <v>-12758.048110928061</v>
      </c>
      <c r="U64" s="465">
        <f>IF(T64&lt;=0,0,[1]!srRng2E(S$6,T64))</f>
        <v>0</v>
      </c>
      <c r="V64" s="482" t="e">
        <f t="shared" si="1"/>
        <v>#N/A</v>
      </c>
      <c r="W64" s="466">
        <f t="shared" si="2"/>
        <v>1.1363636363636363E-3</v>
      </c>
      <c r="X64" s="466" t="e">
        <f t="shared" si="3"/>
        <v>#N/A</v>
      </c>
      <c r="Y64" s="466">
        <f t="shared" si="4"/>
        <v>0.15</v>
      </c>
      <c r="AA64" s="35">
        <f t="shared" si="5"/>
        <v>73</v>
      </c>
      <c r="AB64" s="556">
        <f>[1]!srIx2Val(AC$6,AA64,1)</f>
        <v>1.1249999999999999E-3</v>
      </c>
      <c r="AC64" s="1001">
        <f>[1]!srIx2Val(AC$6,AA64,5)</f>
        <v>85.42</v>
      </c>
      <c r="AD64" s="1001">
        <f t="shared" si="6"/>
        <v>-9341.8880530617716</v>
      </c>
      <c r="AE64" s="465">
        <f>IF(AD64&lt;=0,0,[1]!srRng2E(AC$6,AD64))</f>
        <v>0</v>
      </c>
      <c r="AF64" s="466" t="e">
        <f t="shared" si="7"/>
        <v>#N/A</v>
      </c>
      <c r="AG64" s="466">
        <f t="shared" si="8"/>
        <v>1.1249999999999999E-3</v>
      </c>
      <c r="AH64" s="466" t="e">
        <f t="shared" si="9"/>
        <v>#N/A</v>
      </c>
      <c r="AI64" s="466">
        <f t="shared" si="10"/>
        <v>4.4999999999999998E-2</v>
      </c>
    </row>
    <row r="65" spans="3:35">
      <c r="Q65" s="35">
        <f t="shared" si="11"/>
        <v>74</v>
      </c>
      <c r="R65" s="556">
        <f>[1]!srIx2Val(S$6,Q65,1)</f>
        <v>1.2121212121212121E-3</v>
      </c>
      <c r="S65" s="1001">
        <f>[1]!srIx2Val(S$6,Q65,5)</f>
        <v>126.93</v>
      </c>
      <c r="T65" s="1001">
        <f t="shared" si="0"/>
        <v>-12751.708110928061</v>
      </c>
      <c r="U65" s="465">
        <f>IF(T65&lt;=0,0,[1]!srRng2E(S$6,T65))</f>
        <v>0</v>
      </c>
      <c r="V65" s="482" t="e">
        <f t="shared" si="1"/>
        <v>#N/A</v>
      </c>
      <c r="W65" s="466">
        <f t="shared" si="2"/>
        <v>1.2121212121212121E-3</v>
      </c>
      <c r="X65" s="466" t="e">
        <f t="shared" si="3"/>
        <v>#N/A</v>
      </c>
      <c r="Y65" s="466">
        <f t="shared" si="4"/>
        <v>0.16</v>
      </c>
      <c r="AA65" s="35">
        <f t="shared" si="5"/>
        <v>74</v>
      </c>
      <c r="AB65" s="556">
        <f>[1]!srIx2Val(AC$6,AA65,1)</f>
        <v>1.25E-3</v>
      </c>
      <c r="AC65" s="1001">
        <f>[1]!srIx2Val(AC$6,AA65,5)</f>
        <v>94.19</v>
      </c>
      <c r="AD65" s="1001">
        <f t="shared" si="6"/>
        <v>-9333.1180530617712</v>
      </c>
      <c r="AE65" s="465">
        <f>IF(AD65&lt;=0,0,[1]!srRng2E(AC$6,AD65))</f>
        <v>0</v>
      </c>
      <c r="AF65" s="466" t="e">
        <f t="shared" si="7"/>
        <v>#N/A</v>
      </c>
      <c r="AG65" s="466">
        <f t="shared" si="8"/>
        <v>1.25E-3</v>
      </c>
      <c r="AH65" s="466" t="e">
        <f t="shared" si="9"/>
        <v>#N/A</v>
      </c>
      <c r="AI65" s="466">
        <f t="shared" si="10"/>
        <v>0.05</v>
      </c>
    </row>
    <row r="66" spans="3:35">
      <c r="C66" s="488"/>
      <c r="D66" s="549" t="s">
        <v>323</v>
      </c>
      <c r="E66" s="539"/>
      <c r="F66" s="540"/>
      <c r="G66" s="541"/>
      <c r="H66" s="221"/>
      <c r="I66" s="221"/>
      <c r="Q66" s="35">
        <f t="shared" si="11"/>
        <v>75</v>
      </c>
      <c r="R66" s="556">
        <f>[1]!srIx2Val(S$6,Q66,1)</f>
        <v>1.2878787878787879E-3</v>
      </c>
      <c r="S66" s="1001">
        <f>[1]!srIx2Val(S$6,Q66,5)</f>
        <v>133.24</v>
      </c>
      <c r="T66" s="1001">
        <f t="shared" si="0"/>
        <v>-12745.398110928061</v>
      </c>
      <c r="U66" s="465">
        <f>IF(T66&lt;=0,0,[1]!srRng2E(S$6,T66))</f>
        <v>0</v>
      </c>
      <c r="V66" s="482" t="e">
        <f t="shared" si="1"/>
        <v>#N/A</v>
      </c>
      <c r="W66" s="466">
        <f t="shared" si="2"/>
        <v>1.2878787878787879E-3</v>
      </c>
      <c r="X66" s="466" t="e">
        <f t="shared" si="3"/>
        <v>#N/A</v>
      </c>
      <c r="Y66" s="466">
        <f t="shared" si="4"/>
        <v>0.17</v>
      </c>
      <c r="AA66" s="35">
        <f t="shared" si="5"/>
        <v>75</v>
      </c>
      <c r="AB66" s="556">
        <f>[1]!srIx2Val(AC$6,AA66,1)</f>
        <v>1.3749999999999999E-3</v>
      </c>
      <c r="AC66" s="1001">
        <f>[1]!srIx2Val(AC$6,AA66,5)</f>
        <v>102.99</v>
      </c>
      <c r="AD66" s="1001">
        <f t="shared" si="6"/>
        <v>-9324.3180530617719</v>
      </c>
      <c r="AE66" s="465">
        <f>IF(AD66&lt;=0,0,[1]!srRng2E(AC$6,AD66))</f>
        <v>0</v>
      </c>
      <c r="AF66" s="466" t="e">
        <f t="shared" si="7"/>
        <v>#N/A</v>
      </c>
      <c r="AG66" s="466">
        <f t="shared" si="8"/>
        <v>1.3749999999999999E-3</v>
      </c>
      <c r="AH66" s="466" t="e">
        <f t="shared" si="9"/>
        <v>#N/A</v>
      </c>
      <c r="AI66" s="466">
        <f t="shared" si="10"/>
        <v>5.4999999999999993E-2</v>
      </c>
    </row>
    <row r="67" spans="3:35">
      <c r="C67" s="488"/>
      <c r="D67" s="542" t="s">
        <v>320</v>
      </c>
      <c r="E67" s="543" t="s">
        <v>318</v>
      </c>
      <c r="F67" s="543"/>
      <c r="G67" s="544" t="s">
        <v>715</v>
      </c>
      <c r="H67" s="705"/>
      <c r="I67" s="705"/>
      <c r="Q67" s="35">
        <f t="shared" si="11"/>
        <v>76</v>
      </c>
      <c r="R67" s="556">
        <f>[1]!srIx2Val(S$6,Q67,1)</f>
        <v>1.3636363636363635E-3</v>
      </c>
      <c r="S67" s="1001">
        <f>[1]!srIx2Val(S$6,Q67,5)</f>
        <v>139.54</v>
      </c>
      <c r="T67" s="1001">
        <f t="shared" si="0"/>
        <v>-12739.09811092806</v>
      </c>
      <c r="U67" s="465">
        <f>IF(T67&lt;=0,0,[1]!srRng2E(S$6,T67))</f>
        <v>0</v>
      </c>
      <c r="V67" s="482" t="e">
        <f t="shared" si="1"/>
        <v>#N/A</v>
      </c>
      <c r="W67" s="466">
        <f t="shared" si="2"/>
        <v>1.3636363636363635E-3</v>
      </c>
      <c r="X67" s="466" t="e">
        <f t="shared" si="3"/>
        <v>#N/A</v>
      </c>
      <c r="Y67" s="466">
        <f t="shared" si="4"/>
        <v>0.18</v>
      </c>
      <c r="AA67" s="35">
        <f t="shared" si="5"/>
        <v>76</v>
      </c>
      <c r="AB67" s="556">
        <f>[1]!srIx2Val(AC$6,AA67,1)</f>
        <v>1.5E-3</v>
      </c>
      <c r="AC67" s="1001">
        <f>[1]!srIx2Val(AC$6,AA67,5)</f>
        <v>111.82</v>
      </c>
      <c r="AD67" s="1001">
        <f t="shared" si="6"/>
        <v>-9315.488053061772</v>
      </c>
      <c r="AE67" s="465">
        <f>IF(AD67&lt;=0,0,[1]!srRng2E(AC$6,AD67))</f>
        <v>0</v>
      </c>
      <c r="AF67" s="466" t="e">
        <f t="shared" si="7"/>
        <v>#N/A</v>
      </c>
      <c r="AG67" s="466">
        <f t="shared" si="8"/>
        <v>1.5E-3</v>
      </c>
      <c r="AH67" s="466" t="e">
        <f t="shared" si="9"/>
        <v>#N/A</v>
      </c>
      <c r="AI67" s="466">
        <f t="shared" si="10"/>
        <v>0.06</v>
      </c>
    </row>
    <row r="68" spans="3:35">
      <c r="C68" s="550"/>
      <c r="D68" s="489"/>
      <c r="E68" s="535"/>
      <c r="F68" s="535"/>
      <c r="G68" s="535"/>
      <c r="H68" s="535"/>
      <c r="I68" s="535"/>
      <c r="Q68" s="35">
        <f t="shared" si="11"/>
        <v>77</v>
      </c>
      <c r="R68" s="556">
        <f>[1]!srIx2Val(S$6,Q68,1)</f>
        <v>1.5151515151515152E-3</v>
      </c>
      <c r="S68" s="1001">
        <f>[1]!srIx2Val(S$6,Q68,5)</f>
        <v>152.08000000000001</v>
      </c>
      <c r="T68" s="1001">
        <f t="shared" si="0"/>
        <v>-12726.558110928061</v>
      </c>
      <c r="U68" s="465">
        <f>IF(T68&lt;=0,0,[1]!srRng2E(S$6,T68))</f>
        <v>0</v>
      </c>
      <c r="V68" s="482" t="e">
        <f t="shared" si="1"/>
        <v>#N/A</v>
      </c>
      <c r="W68" s="466">
        <f t="shared" si="2"/>
        <v>1.5151515151515152E-3</v>
      </c>
      <c r="X68" s="466" t="e">
        <f t="shared" si="3"/>
        <v>#N/A</v>
      </c>
      <c r="Y68" s="466">
        <f t="shared" si="4"/>
        <v>0.2</v>
      </c>
      <c r="AA68" s="35">
        <f t="shared" si="5"/>
        <v>77</v>
      </c>
      <c r="AB68" s="556">
        <f>[1]!srIx2Val(AC$6,AA68,1)</f>
        <v>1.6250000000000001E-3</v>
      </c>
      <c r="AC68" s="1001">
        <f>[1]!srIx2Val(AC$6,AA68,5)</f>
        <v>120.69</v>
      </c>
      <c r="AD68" s="1001">
        <f t="shared" si="6"/>
        <v>-9306.6180530617712</v>
      </c>
      <c r="AE68" s="465">
        <f>IF(AD68&lt;=0,0,[1]!srRng2E(AC$6,AD68))</f>
        <v>0</v>
      </c>
      <c r="AF68" s="466" t="e">
        <f t="shared" si="7"/>
        <v>#N/A</v>
      </c>
      <c r="AG68" s="466">
        <f t="shared" si="8"/>
        <v>1.6250000000000001E-3</v>
      </c>
      <c r="AH68" s="466" t="e">
        <f t="shared" si="9"/>
        <v>#N/A</v>
      </c>
      <c r="AI68" s="466">
        <f t="shared" si="10"/>
        <v>6.5000000000000002E-2</v>
      </c>
    </row>
    <row r="69" spans="3:35">
      <c r="C69" s="534"/>
      <c r="D69" s="489" t="s">
        <v>714</v>
      </c>
      <c r="E69" s="535">
        <v>100</v>
      </c>
      <c r="F69" s="535"/>
      <c r="G69" s="535">
        <v>10</v>
      </c>
      <c r="H69" s="535"/>
      <c r="I69" s="535"/>
      <c r="Q69" s="35">
        <f t="shared" si="11"/>
        <v>78</v>
      </c>
      <c r="R69" s="556">
        <f>[1]!srIx2Val(S$6,Q69,1)</f>
        <v>1.7045454545454547E-3</v>
      </c>
      <c r="S69" s="1001">
        <f>[1]!srIx2Val(S$6,Q69,5)</f>
        <v>167.7</v>
      </c>
      <c r="T69" s="1001">
        <f t="shared" si="0"/>
        <v>-12710.93811092806</v>
      </c>
      <c r="U69" s="465">
        <f>IF(T69&lt;=0,0,[1]!srRng2E(S$6,T69))</f>
        <v>0</v>
      </c>
      <c r="V69" s="482" t="e">
        <f t="shared" si="1"/>
        <v>#N/A</v>
      </c>
      <c r="W69" s="466">
        <f t="shared" si="2"/>
        <v>1.7045454545454547E-3</v>
      </c>
      <c r="X69" s="466" t="e">
        <f t="shared" si="3"/>
        <v>#N/A</v>
      </c>
      <c r="Y69" s="466">
        <f t="shared" si="4"/>
        <v>0.22500000000000001</v>
      </c>
      <c r="AA69" s="35">
        <f t="shared" si="5"/>
        <v>78</v>
      </c>
      <c r="AB69" s="556">
        <f>[1]!srIx2Val(AC$6,AA69,1)</f>
        <v>1.7500000000000003E-3</v>
      </c>
      <c r="AC69" s="1001">
        <f>[1]!srIx2Val(AC$6,AA69,5)</f>
        <v>129.6</v>
      </c>
      <c r="AD69" s="1001">
        <f t="shared" si="6"/>
        <v>-9297.7080530617714</v>
      </c>
      <c r="AE69" s="465">
        <f>IF(AD69&lt;=0,0,[1]!srRng2E(AC$6,AD69))</f>
        <v>0</v>
      </c>
      <c r="AF69" s="466" t="e">
        <f t="shared" si="7"/>
        <v>#N/A</v>
      </c>
      <c r="AG69" s="466">
        <f t="shared" si="8"/>
        <v>1.7500000000000003E-3</v>
      </c>
      <c r="AH69" s="466" t="e">
        <f t="shared" si="9"/>
        <v>#N/A</v>
      </c>
      <c r="AI69" s="466">
        <f t="shared" si="10"/>
        <v>7.0000000000000007E-2</v>
      </c>
    </row>
    <row r="70" spans="3:35">
      <c r="C70" s="534"/>
      <c r="D70" s="489"/>
      <c r="E70" s="535"/>
      <c r="F70" s="535"/>
      <c r="G70" s="535"/>
      <c r="H70" s="535"/>
      <c r="I70" s="535"/>
      <c r="Q70" s="35">
        <f t="shared" si="11"/>
        <v>79</v>
      </c>
      <c r="R70" s="556">
        <f>[1]!srIx2Val(S$6,Q70,1)</f>
        <v>1.893939393939394E-3</v>
      </c>
      <c r="S70" s="1001">
        <f>[1]!srIx2Val(S$6,Q70,5)</f>
        <v>183.28</v>
      </c>
      <c r="T70" s="1001">
        <f t="shared" si="0"/>
        <v>-12695.35811092806</v>
      </c>
      <c r="U70" s="465">
        <f>IF(T70&lt;=0,0,[1]!srRng2E(S$6,T70))</f>
        <v>0</v>
      </c>
      <c r="V70" s="482" t="e">
        <f t="shared" si="1"/>
        <v>#N/A</v>
      </c>
      <c r="W70" s="466">
        <f t="shared" si="2"/>
        <v>1.893939393939394E-3</v>
      </c>
      <c r="X70" s="466" t="e">
        <f t="shared" si="3"/>
        <v>#N/A</v>
      </c>
      <c r="Y70" s="466">
        <f t="shared" si="4"/>
        <v>0.25</v>
      </c>
      <c r="AA70" s="35">
        <f t="shared" si="5"/>
        <v>79</v>
      </c>
      <c r="AB70" s="556">
        <f>[1]!srIx2Val(AC$6,AA70,1)</f>
        <v>2E-3</v>
      </c>
      <c r="AC70" s="1001">
        <f>[1]!srIx2Val(AC$6,AA70,5)</f>
        <v>147.5</v>
      </c>
      <c r="AD70" s="1001">
        <f t="shared" si="6"/>
        <v>-9279.8080530617717</v>
      </c>
      <c r="AE70" s="465">
        <f>IF(AD70&lt;=0,0,[1]!srRng2E(AC$6,AD70))</f>
        <v>0</v>
      </c>
      <c r="AF70" s="466" t="e">
        <f t="shared" si="7"/>
        <v>#N/A</v>
      </c>
      <c r="AG70" s="466">
        <f t="shared" si="8"/>
        <v>2E-3</v>
      </c>
      <c r="AH70" s="466" t="e">
        <f t="shared" si="9"/>
        <v>#N/A</v>
      </c>
      <c r="AI70" s="466">
        <f t="shared" si="10"/>
        <v>0.08</v>
      </c>
    </row>
    <row r="71" spans="3:35">
      <c r="C71" s="534"/>
      <c r="D71" s="489"/>
      <c r="E71" s="535"/>
      <c r="F71" s="535"/>
      <c r="G71" s="535"/>
      <c r="H71" s="535"/>
      <c r="I71" s="535"/>
      <c r="Q71" s="35">
        <f t="shared" si="11"/>
        <v>80</v>
      </c>
      <c r="R71" s="556">
        <f>[1]!srIx2Val(S$6,Q71,1)</f>
        <v>2.0833333333333333E-3</v>
      </c>
      <c r="S71" s="1001">
        <f>[1]!srIx2Val(S$6,Q71,5)</f>
        <v>198.86</v>
      </c>
      <c r="T71" s="1001">
        <f t="shared" si="0"/>
        <v>-12679.77811092806</v>
      </c>
      <c r="U71" s="465">
        <f>IF(T71&lt;=0,0,[1]!srRng2E(S$6,T71))</f>
        <v>0</v>
      </c>
      <c r="V71" s="482" t="e">
        <f t="shared" si="1"/>
        <v>#N/A</v>
      </c>
      <c r="W71" s="466">
        <f t="shared" si="2"/>
        <v>2.0833333333333333E-3</v>
      </c>
      <c r="X71" s="466" t="e">
        <f t="shared" si="3"/>
        <v>#N/A</v>
      </c>
      <c r="Y71" s="466">
        <f t="shared" si="4"/>
        <v>0.27500000000000002</v>
      </c>
      <c r="AA71" s="35">
        <f t="shared" si="5"/>
        <v>80</v>
      </c>
      <c r="AB71" s="556">
        <f>[1]!srIx2Val(AC$6,AA71,1)</f>
        <v>2.2499999999999998E-3</v>
      </c>
      <c r="AC71" s="1001">
        <f>[1]!srIx2Val(AC$6,AA71,5)</f>
        <v>165.48</v>
      </c>
      <c r="AD71" s="1001">
        <f t="shared" si="6"/>
        <v>-9261.8280530617722</v>
      </c>
      <c r="AE71" s="465">
        <f>IF(AD71&lt;=0,0,[1]!srRng2E(AC$6,AD71))</f>
        <v>0</v>
      </c>
      <c r="AF71" s="466" t="e">
        <f t="shared" si="7"/>
        <v>#N/A</v>
      </c>
      <c r="AG71" s="466">
        <f t="shared" si="8"/>
        <v>2.2499999999999998E-3</v>
      </c>
      <c r="AH71" s="466" t="e">
        <f t="shared" si="9"/>
        <v>#N/A</v>
      </c>
      <c r="AI71" s="466">
        <f t="shared" si="10"/>
        <v>0.09</v>
      </c>
    </row>
    <row r="72" spans="3:35">
      <c r="C72" s="534"/>
      <c r="D72" s="537"/>
      <c r="E72" s="538"/>
      <c r="F72" s="535"/>
      <c r="G72" s="535"/>
      <c r="H72" s="535"/>
      <c r="I72" s="535"/>
      <c r="Q72" s="35">
        <f t="shared" si="11"/>
        <v>81</v>
      </c>
      <c r="R72" s="556">
        <f>[1]!srIx2Val(S$6,Q72,1)</f>
        <v>2.2727272727272726E-3</v>
      </c>
      <c r="S72" s="1001">
        <f>[1]!srIx2Val(S$6,Q72,5)</f>
        <v>214.46</v>
      </c>
      <c r="T72" s="1001">
        <f t="shared" si="0"/>
        <v>-12664.178110928062</v>
      </c>
      <c r="U72" s="465">
        <f>IF(T72&lt;=0,0,[1]!srRng2E(S$6,T72))</f>
        <v>0</v>
      </c>
      <c r="V72" s="482" t="e">
        <f t="shared" si="1"/>
        <v>#N/A</v>
      </c>
      <c r="W72" s="466">
        <f t="shared" si="2"/>
        <v>2.2727272727272726E-3</v>
      </c>
      <c r="X72" s="466" t="e">
        <f t="shared" si="3"/>
        <v>#N/A</v>
      </c>
      <c r="Y72" s="466">
        <f t="shared" si="4"/>
        <v>0.3</v>
      </c>
      <c r="AA72" s="35">
        <f t="shared" si="5"/>
        <v>81</v>
      </c>
      <c r="AB72" s="556">
        <f>[1]!srIx2Val(AC$6,AA72,1)</f>
        <v>2.5000000000000001E-3</v>
      </c>
      <c r="AC72" s="1001">
        <f>[1]!srIx2Val(AC$6,AA72,5)</f>
        <v>183.53</v>
      </c>
      <c r="AD72" s="1001">
        <f t="shared" si="6"/>
        <v>-9243.7780530617711</v>
      </c>
      <c r="AE72" s="465">
        <f>IF(AD72&lt;=0,0,[1]!srRng2E(AC$6,AD72))</f>
        <v>0</v>
      </c>
      <c r="AF72" s="466" t="e">
        <f t="shared" si="7"/>
        <v>#N/A</v>
      </c>
      <c r="AG72" s="466">
        <f t="shared" si="8"/>
        <v>2.5000000000000001E-3</v>
      </c>
      <c r="AH72" s="466" t="e">
        <f t="shared" si="9"/>
        <v>#N/A</v>
      </c>
      <c r="AI72" s="466">
        <f t="shared" si="10"/>
        <v>0.1</v>
      </c>
    </row>
    <row r="73" spans="3:35">
      <c r="C73" s="534"/>
      <c r="D73" s="489"/>
      <c r="E73" s="535"/>
      <c r="F73" s="535"/>
      <c r="G73" s="535"/>
      <c r="H73" s="535"/>
      <c r="I73" s="535"/>
      <c r="Q73" s="35">
        <f t="shared" si="11"/>
        <v>82</v>
      </c>
      <c r="R73" s="556">
        <f>[1]!srIx2Val(S$6,Q73,1)</f>
        <v>2.4621212121212124E-3</v>
      </c>
      <c r="S73" s="1001">
        <f>[1]!srIx2Val(S$6,Q73,5)</f>
        <v>230.11</v>
      </c>
      <c r="T73" s="1001">
        <f t="shared" si="0"/>
        <v>-12648.52811092806</v>
      </c>
      <c r="U73" s="465">
        <f>IF(T73&lt;=0,0,[1]!srRng2E(S$6,T73))</f>
        <v>0</v>
      </c>
      <c r="V73" s="482" t="e">
        <f t="shared" si="1"/>
        <v>#N/A</v>
      </c>
      <c r="W73" s="466">
        <f t="shared" si="2"/>
        <v>2.4621212121212124E-3</v>
      </c>
      <c r="X73" s="466" t="e">
        <f t="shared" si="3"/>
        <v>#N/A</v>
      </c>
      <c r="Y73" s="466">
        <f t="shared" si="4"/>
        <v>0.32500000000000001</v>
      </c>
      <c r="AA73" s="35">
        <f t="shared" si="5"/>
        <v>82</v>
      </c>
      <c r="AB73" s="556">
        <f>[1]!srIx2Val(AC$6,AA73,1)</f>
        <v>2.7499999999999998E-3</v>
      </c>
      <c r="AC73" s="1001">
        <f>[1]!srIx2Val(AC$6,AA73,5)</f>
        <v>201.67</v>
      </c>
      <c r="AD73" s="1001">
        <f t="shared" si="6"/>
        <v>-9225.6380530617716</v>
      </c>
      <c r="AE73" s="465">
        <f>IF(AD73&lt;=0,0,[1]!srRng2E(AC$6,AD73))</f>
        <v>0</v>
      </c>
      <c r="AF73" s="466" t="e">
        <f t="shared" si="7"/>
        <v>#N/A</v>
      </c>
      <c r="AG73" s="466">
        <f t="shared" si="8"/>
        <v>2.7499999999999998E-3</v>
      </c>
      <c r="AH73" s="466" t="e">
        <f t="shared" si="9"/>
        <v>#N/A</v>
      </c>
      <c r="AI73" s="466">
        <f t="shared" si="10"/>
        <v>0.10999999999999999</v>
      </c>
    </row>
    <row r="74" spans="3:35">
      <c r="C74" s="534"/>
      <c r="D74" s="547"/>
      <c r="E74" s="535"/>
      <c r="F74" s="535"/>
      <c r="G74" s="535"/>
      <c r="H74" s="535"/>
      <c r="I74" s="535"/>
      <c r="Q74" s="35">
        <f t="shared" si="11"/>
        <v>83</v>
      </c>
      <c r="R74" s="556">
        <f>[1]!srIx2Val(S$6,Q74,1)</f>
        <v>2.6515151515151512E-3</v>
      </c>
      <c r="S74" s="1001">
        <f>[1]!srIx2Val(S$6,Q74,5)</f>
        <v>245.81</v>
      </c>
      <c r="T74" s="1001">
        <f t="shared" si="0"/>
        <v>-12632.828110928062</v>
      </c>
      <c r="U74" s="465">
        <f>IF(T74&lt;=0,0,[1]!srRng2E(S$6,T74))</f>
        <v>0</v>
      </c>
      <c r="V74" s="482" t="e">
        <f t="shared" si="1"/>
        <v>#N/A</v>
      </c>
      <c r="W74" s="466">
        <f t="shared" si="2"/>
        <v>2.6515151515151512E-3</v>
      </c>
      <c r="X74" s="466" t="e">
        <f t="shared" si="3"/>
        <v>#N/A</v>
      </c>
      <c r="Y74" s="466">
        <f t="shared" si="4"/>
        <v>0.35</v>
      </c>
      <c r="AA74" s="35">
        <f t="shared" si="5"/>
        <v>83</v>
      </c>
      <c r="AB74" s="556">
        <f>[1]!srIx2Val(AC$6,AA74,1)</f>
        <v>3.0000000000000001E-3</v>
      </c>
      <c r="AC74" s="1001">
        <f>[1]!srIx2Val(AC$6,AA74,5)</f>
        <v>219.89</v>
      </c>
      <c r="AD74" s="1001">
        <f t="shared" si="6"/>
        <v>-9207.4180530617723</v>
      </c>
      <c r="AE74" s="465">
        <f>IF(AD74&lt;=0,0,[1]!srRng2E(AC$6,AD74))</f>
        <v>0</v>
      </c>
      <c r="AF74" s="466" t="e">
        <f t="shared" si="7"/>
        <v>#N/A</v>
      </c>
      <c r="AG74" s="466">
        <f t="shared" si="8"/>
        <v>3.0000000000000001E-3</v>
      </c>
      <c r="AH74" s="466" t="e">
        <f t="shared" si="9"/>
        <v>#N/A</v>
      </c>
      <c r="AI74" s="466">
        <f t="shared" si="10"/>
        <v>0.12</v>
      </c>
    </row>
    <row r="75" spans="3:35">
      <c r="Q75" s="35">
        <f t="shared" si="11"/>
        <v>84</v>
      </c>
      <c r="R75" s="556">
        <f>[1]!srIx2Val(S$6,Q75,1)</f>
        <v>2.840909090909091E-3</v>
      </c>
      <c r="S75" s="1001">
        <f>[1]!srIx2Val(S$6,Q75,5)</f>
        <v>261.57</v>
      </c>
      <c r="T75" s="1001">
        <f t="shared" ref="T75:T138" si="12">S75-T$10</f>
        <v>-12617.068110928061</v>
      </c>
      <c r="U75" s="465">
        <f>IF(T75&lt;=0,0,[1]!srRng2E(S$6,T75))</f>
        <v>0</v>
      </c>
      <c r="V75" s="482" t="e">
        <f t="shared" si="1"/>
        <v>#N/A</v>
      </c>
      <c r="W75" s="466">
        <f t="shared" si="2"/>
        <v>2.840909090909091E-3</v>
      </c>
      <c r="X75" s="466" t="e">
        <f t="shared" si="3"/>
        <v>#N/A</v>
      </c>
      <c r="Y75" s="466">
        <f t="shared" si="4"/>
        <v>0.375</v>
      </c>
      <c r="AA75" s="35">
        <f t="shared" si="5"/>
        <v>84</v>
      </c>
      <c r="AB75" s="556">
        <f>[1]!srIx2Val(AC$6,AA75,1)</f>
        <v>3.2500000000000003E-3</v>
      </c>
      <c r="AC75" s="1001">
        <f>[1]!srIx2Val(AC$6,AA75,5)</f>
        <v>238.22</v>
      </c>
      <c r="AD75" s="1001">
        <f t="shared" si="6"/>
        <v>-9189.0880530617724</v>
      </c>
      <c r="AE75" s="465">
        <f>IF(AD75&lt;=0,0,[1]!srRng2E(AC$6,AD75))</f>
        <v>0</v>
      </c>
      <c r="AF75" s="466" t="e">
        <f t="shared" si="7"/>
        <v>#N/A</v>
      </c>
      <c r="AG75" s="466">
        <f t="shared" si="8"/>
        <v>3.2500000000000003E-3</v>
      </c>
      <c r="AH75" s="466" t="e">
        <f t="shared" si="9"/>
        <v>#N/A</v>
      </c>
      <c r="AI75" s="466">
        <f t="shared" si="10"/>
        <v>0.13</v>
      </c>
    </row>
    <row r="76" spans="3:35">
      <c r="Q76" s="35">
        <f t="shared" si="11"/>
        <v>85</v>
      </c>
      <c r="R76" s="556">
        <f>[1]!srIx2Val(S$6,Q76,1)</f>
        <v>3.0303030303030303E-3</v>
      </c>
      <c r="S76" s="1001">
        <f>[1]!srIx2Val(S$6,Q76,5)</f>
        <v>277.39999999999998</v>
      </c>
      <c r="T76" s="1001">
        <f t="shared" si="12"/>
        <v>-12601.238110928061</v>
      </c>
      <c r="U76" s="465">
        <f>IF(T76&lt;=0,0,[1]!srRng2E(S$6,T76))</f>
        <v>0</v>
      </c>
      <c r="V76" s="482" t="e">
        <f t="shared" ref="V76:V139" si="13">IF((T76&lt;=0),NA(),R76-U76)</f>
        <v>#N/A</v>
      </c>
      <c r="W76" s="466">
        <f t="shared" ref="W76:W139" si="14">IF((T76&lt;=0),R76-U76,NA())</f>
        <v>3.0303030303030303E-3</v>
      </c>
      <c r="X76" s="466" t="e">
        <f t="shared" ref="X76:X139" si="15">IF((T76&lt;0),NA(),V76*X$6)</f>
        <v>#N/A</v>
      </c>
      <c r="Y76" s="466">
        <f t="shared" ref="Y76:Y139" si="16">IF((T76&lt;0),W76*X$6,NA())</f>
        <v>0.4</v>
      </c>
      <c r="AA76" s="35">
        <f t="shared" ref="AA76:AA139" si="17">AA75+1</f>
        <v>85</v>
      </c>
      <c r="AB76" s="556">
        <f>[1]!srIx2Val(AC$6,AA76,1)</f>
        <v>3.5000000000000005E-3</v>
      </c>
      <c r="AC76" s="1001">
        <f>[1]!srIx2Val(AC$6,AA76,5)</f>
        <v>256.64</v>
      </c>
      <c r="AD76" s="1001">
        <f t="shared" ref="AD76:AD139" si="18">AC76-AD$10</f>
        <v>-9170.6680530617723</v>
      </c>
      <c r="AE76" s="465">
        <f>IF(AD76&lt;=0,0,[1]!srRng2E(AC$6,AD76))</f>
        <v>0</v>
      </c>
      <c r="AF76" s="466" t="e">
        <f t="shared" ref="AF76:AF139" si="19">IF((AD76&lt;=0),NA(),AB76-AE76)</f>
        <v>#N/A</v>
      </c>
      <c r="AG76" s="466">
        <f t="shared" ref="AG76:AG139" si="20">IF((AD76&lt;=0),AB76-AE76,NA())</f>
        <v>3.5000000000000005E-3</v>
      </c>
      <c r="AH76" s="466" t="e">
        <f t="shared" ref="AH76:AH139" si="21">IF((AD76&lt;0),NA(),AF76*AH$6)</f>
        <v>#N/A</v>
      </c>
      <c r="AI76" s="466">
        <f t="shared" ref="AI76:AI139" si="22">IF((AD76&lt;0),AG76*AH$6,NA())</f>
        <v>0.14000000000000001</v>
      </c>
    </row>
    <row r="77" spans="3:35">
      <c r="Q77" s="35">
        <f t="shared" ref="Q77:Q140" si="23">Q76+1</f>
        <v>86</v>
      </c>
      <c r="R77" s="556">
        <f>[1]!srIx2Val(S$6,Q77,1)</f>
        <v>3.4090909090909094E-3</v>
      </c>
      <c r="S77" s="1001">
        <f>[1]!srIx2Val(S$6,Q77,5)</f>
        <v>309.26</v>
      </c>
      <c r="T77" s="1001">
        <f t="shared" si="12"/>
        <v>-12569.378110928061</v>
      </c>
      <c r="U77" s="465">
        <f>IF(T77&lt;=0,0,[1]!srRng2E(S$6,T77))</f>
        <v>0</v>
      </c>
      <c r="V77" s="482" t="e">
        <f t="shared" si="13"/>
        <v>#N/A</v>
      </c>
      <c r="W77" s="466">
        <f t="shared" si="14"/>
        <v>3.4090909090909094E-3</v>
      </c>
      <c r="X77" s="466" t="e">
        <f t="shared" si="15"/>
        <v>#N/A</v>
      </c>
      <c r="Y77" s="466">
        <f t="shared" si="16"/>
        <v>0.45</v>
      </c>
      <c r="AA77" s="35">
        <f t="shared" si="17"/>
        <v>86</v>
      </c>
      <c r="AB77" s="556">
        <f>[1]!srIx2Val(AC$6,AA77,1)</f>
        <v>3.7499999999999999E-3</v>
      </c>
      <c r="AC77" s="1001">
        <f>[1]!srIx2Val(AC$6,AA77,5)</f>
        <v>275.14999999999998</v>
      </c>
      <c r="AD77" s="1001">
        <f t="shared" si="18"/>
        <v>-9152.1580530617721</v>
      </c>
      <c r="AE77" s="465">
        <f>IF(AD77&lt;=0,0,[1]!srRng2E(AC$6,AD77))</f>
        <v>0</v>
      </c>
      <c r="AF77" s="466" t="e">
        <f t="shared" si="19"/>
        <v>#N/A</v>
      </c>
      <c r="AG77" s="466">
        <f t="shared" si="20"/>
        <v>3.7499999999999999E-3</v>
      </c>
      <c r="AH77" s="466" t="e">
        <f t="shared" si="21"/>
        <v>#N/A</v>
      </c>
      <c r="AI77" s="466">
        <f t="shared" si="22"/>
        <v>0.15</v>
      </c>
    </row>
    <row r="78" spans="3:35">
      <c r="Q78" s="35">
        <f t="shared" si="23"/>
        <v>87</v>
      </c>
      <c r="R78" s="556">
        <f>[1]!srIx2Val(S$6,Q78,1)</f>
        <v>3.787878787878788E-3</v>
      </c>
      <c r="S78" s="1001">
        <f>[1]!srIx2Val(S$6,Q78,5)</f>
        <v>341.39</v>
      </c>
      <c r="T78" s="1001">
        <f t="shared" si="12"/>
        <v>-12537.248110928062</v>
      </c>
      <c r="U78" s="465">
        <f>IF(T78&lt;=0,0,[1]!srRng2E(S$6,T78))</f>
        <v>0</v>
      </c>
      <c r="V78" s="482" t="e">
        <f t="shared" si="13"/>
        <v>#N/A</v>
      </c>
      <c r="W78" s="466">
        <f t="shared" si="14"/>
        <v>3.787878787878788E-3</v>
      </c>
      <c r="X78" s="466" t="e">
        <f t="shared" si="15"/>
        <v>#N/A</v>
      </c>
      <c r="Y78" s="466">
        <f t="shared" si="16"/>
        <v>0.5</v>
      </c>
      <c r="AA78" s="35">
        <f t="shared" si="17"/>
        <v>87</v>
      </c>
      <c r="AB78" s="556">
        <f>[1]!srIx2Val(AC$6,AA78,1)</f>
        <v>4.0000000000000001E-3</v>
      </c>
      <c r="AC78" s="1001">
        <f>[1]!srIx2Val(AC$6,AA78,5)</f>
        <v>293.73</v>
      </c>
      <c r="AD78" s="1001">
        <f t="shared" si="18"/>
        <v>-9133.5780530617722</v>
      </c>
      <c r="AE78" s="465">
        <f>IF(AD78&lt;=0,0,[1]!srRng2E(AC$6,AD78))</f>
        <v>0</v>
      </c>
      <c r="AF78" s="466" t="e">
        <f t="shared" si="19"/>
        <v>#N/A</v>
      </c>
      <c r="AG78" s="466">
        <f t="shared" si="20"/>
        <v>4.0000000000000001E-3</v>
      </c>
      <c r="AH78" s="466" t="e">
        <f t="shared" si="21"/>
        <v>#N/A</v>
      </c>
      <c r="AI78" s="466">
        <f t="shared" si="22"/>
        <v>0.16</v>
      </c>
    </row>
    <row r="79" spans="3:35">
      <c r="Q79" s="35">
        <f t="shared" si="23"/>
        <v>88</v>
      </c>
      <c r="R79" s="556">
        <f>[1]!srIx2Val(S$6,Q79,1)</f>
        <v>4.1666666666666666E-3</v>
      </c>
      <c r="S79" s="1001">
        <f>[1]!srIx2Val(S$6,Q79,5)</f>
        <v>373.79</v>
      </c>
      <c r="T79" s="1001">
        <f t="shared" si="12"/>
        <v>-12504.84811092806</v>
      </c>
      <c r="U79" s="465">
        <f>IF(T79&lt;=0,0,[1]!srRng2E(S$6,T79))</f>
        <v>0</v>
      </c>
      <c r="V79" s="482" t="e">
        <f t="shared" si="13"/>
        <v>#N/A</v>
      </c>
      <c r="W79" s="466">
        <f t="shared" si="14"/>
        <v>4.1666666666666666E-3</v>
      </c>
      <c r="X79" s="466" t="e">
        <f t="shared" si="15"/>
        <v>#N/A</v>
      </c>
      <c r="Y79" s="466">
        <f t="shared" si="16"/>
        <v>0.55000000000000004</v>
      </c>
      <c r="AA79" s="35">
        <f t="shared" si="17"/>
        <v>88</v>
      </c>
      <c r="AB79" s="556">
        <f>[1]!srIx2Val(AC$6,AA79,1)</f>
        <v>4.2500000000000003E-3</v>
      </c>
      <c r="AC79" s="1001">
        <f>[1]!srIx2Val(AC$6,AA79,5)</f>
        <v>312.38</v>
      </c>
      <c r="AD79" s="1001">
        <f t="shared" si="18"/>
        <v>-9114.9280530617725</v>
      </c>
      <c r="AE79" s="465">
        <f>IF(AD79&lt;=0,0,[1]!srRng2E(AC$6,AD79))</f>
        <v>0</v>
      </c>
      <c r="AF79" s="466" t="e">
        <f t="shared" si="19"/>
        <v>#N/A</v>
      </c>
      <c r="AG79" s="466">
        <f t="shared" si="20"/>
        <v>4.2500000000000003E-3</v>
      </c>
      <c r="AH79" s="466" t="e">
        <f t="shared" si="21"/>
        <v>#N/A</v>
      </c>
      <c r="AI79" s="466">
        <f t="shared" si="22"/>
        <v>0.17</v>
      </c>
    </row>
    <row r="80" spans="3:35">
      <c r="Q80" s="35">
        <f t="shared" si="23"/>
        <v>89</v>
      </c>
      <c r="R80" s="556">
        <f>[1]!srIx2Val(S$6,Q80,1)</f>
        <v>4.5454545454545452E-3</v>
      </c>
      <c r="S80" s="1001">
        <f>[1]!srIx2Val(S$6,Q80,5)</f>
        <v>406.45</v>
      </c>
      <c r="T80" s="1001">
        <f t="shared" si="12"/>
        <v>-12472.18811092806</v>
      </c>
      <c r="U80" s="465">
        <f>IF(T80&lt;=0,0,[1]!srRng2E(S$6,T80))</f>
        <v>0</v>
      </c>
      <c r="V80" s="482" t="e">
        <f t="shared" si="13"/>
        <v>#N/A</v>
      </c>
      <c r="W80" s="466">
        <f t="shared" si="14"/>
        <v>4.5454545454545452E-3</v>
      </c>
      <c r="X80" s="466" t="e">
        <f t="shared" si="15"/>
        <v>#N/A</v>
      </c>
      <c r="Y80" s="466">
        <f t="shared" si="16"/>
        <v>0.6</v>
      </c>
      <c r="AA80" s="35">
        <f t="shared" si="17"/>
        <v>89</v>
      </c>
      <c r="AB80" s="556">
        <f>[1]!srIx2Val(AC$6,AA80,1)</f>
        <v>4.4999999999999997E-3</v>
      </c>
      <c r="AC80" s="1001">
        <f>[1]!srIx2Val(AC$6,AA80,5)</f>
        <v>331.1</v>
      </c>
      <c r="AD80" s="1001">
        <f t="shared" si="18"/>
        <v>-9096.2080530617714</v>
      </c>
      <c r="AE80" s="465">
        <f>IF(AD80&lt;=0,0,[1]!srRng2E(AC$6,AD80))</f>
        <v>0</v>
      </c>
      <c r="AF80" s="466" t="e">
        <f t="shared" si="19"/>
        <v>#N/A</v>
      </c>
      <c r="AG80" s="466">
        <f t="shared" si="20"/>
        <v>4.4999999999999997E-3</v>
      </c>
      <c r="AH80" s="466" t="e">
        <f t="shared" si="21"/>
        <v>#N/A</v>
      </c>
      <c r="AI80" s="466">
        <f t="shared" si="22"/>
        <v>0.18</v>
      </c>
    </row>
    <row r="81" spans="17:35">
      <c r="Q81" s="35">
        <f t="shared" si="23"/>
        <v>90</v>
      </c>
      <c r="R81" s="556">
        <f>[1]!srIx2Val(S$6,Q81,1)</f>
        <v>4.9242424242424247E-3</v>
      </c>
      <c r="S81" s="1001">
        <f>[1]!srIx2Val(S$6,Q81,5)</f>
        <v>439.36</v>
      </c>
      <c r="T81" s="1001">
        <f t="shared" si="12"/>
        <v>-12439.27811092806</v>
      </c>
      <c r="U81" s="465">
        <f>IF(T81&lt;=0,0,[1]!srRng2E(S$6,T81))</f>
        <v>0</v>
      </c>
      <c r="V81" s="482" t="e">
        <f t="shared" si="13"/>
        <v>#N/A</v>
      </c>
      <c r="W81" s="466">
        <f t="shared" si="14"/>
        <v>4.9242424242424247E-3</v>
      </c>
      <c r="X81" s="466" t="e">
        <f t="shared" si="15"/>
        <v>#N/A</v>
      </c>
      <c r="Y81" s="466">
        <f t="shared" si="16"/>
        <v>0.65</v>
      </c>
      <c r="AA81" s="35">
        <f t="shared" si="17"/>
        <v>90</v>
      </c>
      <c r="AB81" s="556">
        <f>[1]!srIx2Val(AC$6,AA81,1)</f>
        <v>5.0000000000000001E-3</v>
      </c>
      <c r="AC81" s="1001">
        <f>[1]!srIx2Val(AC$6,AA81,5)</f>
        <v>368.68</v>
      </c>
      <c r="AD81" s="1001">
        <f t="shared" si="18"/>
        <v>-9058.6280530617714</v>
      </c>
      <c r="AE81" s="465">
        <f>IF(AD81&lt;=0,0,[1]!srRng2E(AC$6,AD81))</f>
        <v>0</v>
      </c>
      <c r="AF81" s="466" t="e">
        <f t="shared" si="19"/>
        <v>#N/A</v>
      </c>
      <c r="AG81" s="466">
        <f t="shared" si="20"/>
        <v>5.0000000000000001E-3</v>
      </c>
      <c r="AH81" s="466" t="e">
        <f t="shared" si="21"/>
        <v>#N/A</v>
      </c>
      <c r="AI81" s="466">
        <f t="shared" si="22"/>
        <v>0.2</v>
      </c>
    </row>
    <row r="82" spans="17:35">
      <c r="Q82" s="35">
        <f t="shared" si="23"/>
        <v>91</v>
      </c>
      <c r="R82" s="556">
        <f>[1]!srIx2Val(S$6,Q82,1)</f>
        <v>5.3030303030303025E-3</v>
      </c>
      <c r="S82" s="1001">
        <f>[1]!srIx2Val(S$6,Q82,5)</f>
        <v>472.51</v>
      </c>
      <c r="T82" s="1001">
        <f t="shared" si="12"/>
        <v>-12406.128110928061</v>
      </c>
      <c r="U82" s="465">
        <f>IF(T82&lt;=0,0,[1]!srRng2E(S$6,T82))</f>
        <v>0</v>
      </c>
      <c r="V82" s="482" t="e">
        <f t="shared" si="13"/>
        <v>#N/A</v>
      </c>
      <c r="W82" s="466">
        <f t="shared" si="14"/>
        <v>5.3030303030303025E-3</v>
      </c>
      <c r="X82" s="466" t="e">
        <f t="shared" si="15"/>
        <v>#N/A</v>
      </c>
      <c r="Y82" s="466">
        <f t="shared" si="16"/>
        <v>0.7</v>
      </c>
      <c r="AA82" s="35">
        <f t="shared" si="17"/>
        <v>91</v>
      </c>
      <c r="AB82" s="556">
        <f>[1]!srIx2Val(AC$6,AA82,1)</f>
        <v>5.6249999999999998E-3</v>
      </c>
      <c r="AC82" s="1001">
        <f>[1]!srIx2Val(AC$6,AA82,5)</f>
        <v>415.83</v>
      </c>
      <c r="AD82" s="1001">
        <f t="shared" si="18"/>
        <v>-9011.4780530617718</v>
      </c>
      <c r="AE82" s="465">
        <f>IF(AD82&lt;=0,0,[1]!srRng2E(AC$6,AD82))</f>
        <v>0</v>
      </c>
      <c r="AF82" s="466" t="e">
        <f t="shared" si="19"/>
        <v>#N/A</v>
      </c>
      <c r="AG82" s="466">
        <f t="shared" si="20"/>
        <v>5.6249999999999998E-3</v>
      </c>
      <c r="AH82" s="466" t="e">
        <f t="shared" si="21"/>
        <v>#N/A</v>
      </c>
      <c r="AI82" s="466">
        <f t="shared" si="22"/>
        <v>0.22499999999999998</v>
      </c>
    </row>
    <row r="83" spans="17:35">
      <c r="Q83" s="35">
        <f t="shared" si="23"/>
        <v>92</v>
      </c>
      <c r="R83" s="556">
        <f>[1]!srIx2Val(S$6,Q83,1)</f>
        <v>6.0606060606060606E-3</v>
      </c>
      <c r="S83" s="1001">
        <f>[1]!srIx2Val(S$6,Q83,5)</f>
        <v>539.46</v>
      </c>
      <c r="T83" s="1001">
        <f t="shared" si="12"/>
        <v>-12339.17811092806</v>
      </c>
      <c r="U83" s="465">
        <f>IF(T83&lt;=0,0,[1]!srRng2E(S$6,T83))</f>
        <v>0</v>
      </c>
      <c r="V83" s="482" t="e">
        <f t="shared" si="13"/>
        <v>#N/A</v>
      </c>
      <c r="W83" s="466">
        <f t="shared" si="14"/>
        <v>6.0606060606060606E-3</v>
      </c>
      <c r="X83" s="466" t="e">
        <f t="shared" si="15"/>
        <v>#N/A</v>
      </c>
      <c r="Y83" s="466">
        <f t="shared" si="16"/>
        <v>0.8</v>
      </c>
      <c r="AA83" s="35">
        <f t="shared" si="17"/>
        <v>92</v>
      </c>
      <c r="AB83" s="556">
        <f>[1]!srIx2Val(AC$6,AA83,1)</f>
        <v>6.2500000000000003E-3</v>
      </c>
      <c r="AC83" s="1001">
        <f>[1]!srIx2Val(AC$6,AA83,5)</f>
        <v>463.08</v>
      </c>
      <c r="AD83" s="1001">
        <f t="shared" si="18"/>
        <v>-8964.2280530617718</v>
      </c>
      <c r="AE83" s="465">
        <f>IF(AD83&lt;=0,0,[1]!srRng2E(AC$6,AD83))</f>
        <v>0</v>
      </c>
      <c r="AF83" s="466" t="e">
        <f t="shared" si="19"/>
        <v>#N/A</v>
      </c>
      <c r="AG83" s="466">
        <f t="shared" si="20"/>
        <v>6.2500000000000003E-3</v>
      </c>
      <c r="AH83" s="466" t="e">
        <f t="shared" si="21"/>
        <v>#N/A</v>
      </c>
      <c r="AI83" s="466">
        <f t="shared" si="22"/>
        <v>0.25</v>
      </c>
    </row>
    <row r="84" spans="17:35">
      <c r="Q84" s="35">
        <f t="shared" si="23"/>
        <v>93</v>
      </c>
      <c r="R84" s="556">
        <f>[1]!srIx2Val(S$6,Q84,1)</f>
        <v>6.8181818181818187E-3</v>
      </c>
      <c r="S84" s="1001">
        <f>[1]!srIx2Val(S$6,Q84,5)</f>
        <v>607.16</v>
      </c>
      <c r="T84" s="1001">
        <f t="shared" si="12"/>
        <v>-12271.478110928061</v>
      </c>
      <c r="U84" s="465">
        <f>IF(T84&lt;=0,0,[1]!srRng2E(S$6,T84))</f>
        <v>0</v>
      </c>
      <c r="V84" s="482" t="e">
        <f t="shared" si="13"/>
        <v>#N/A</v>
      </c>
      <c r="W84" s="466">
        <f t="shared" si="14"/>
        <v>6.8181818181818187E-3</v>
      </c>
      <c r="X84" s="466" t="e">
        <f t="shared" si="15"/>
        <v>#N/A</v>
      </c>
      <c r="Y84" s="466">
        <f t="shared" si="16"/>
        <v>0.9</v>
      </c>
      <c r="AA84" s="35">
        <f t="shared" si="17"/>
        <v>93</v>
      </c>
      <c r="AB84" s="556">
        <f>[1]!srIx2Val(AC$6,AA84,1)</f>
        <v>6.8750000000000009E-3</v>
      </c>
      <c r="AC84" s="1001">
        <f>[1]!srIx2Val(AC$6,AA84,5)</f>
        <v>510.32</v>
      </c>
      <c r="AD84" s="1001">
        <f t="shared" si="18"/>
        <v>-8916.988053061772</v>
      </c>
      <c r="AE84" s="465">
        <f>IF(AD84&lt;=0,0,[1]!srRng2E(AC$6,AD84))</f>
        <v>0</v>
      </c>
      <c r="AF84" s="466" t="e">
        <f t="shared" si="19"/>
        <v>#N/A</v>
      </c>
      <c r="AG84" s="466">
        <f t="shared" si="20"/>
        <v>6.8750000000000009E-3</v>
      </c>
      <c r="AH84" s="466" t="e">
        <f t="shared" si="21"/>
        <v>#N/A</v>
      </c>
      <c r="AI84" s="466">
        <f t="shared" si="22"/>
        <v>0.27500000000000002</v>
      </c>
    </row>
    <row r="85" spans="17:35">
      <c r="Q85" s="35">
        <f t="shared" si="23"/>
        <v>94</v>
      </c>
      <c r="R85" s="556">
        <f>[1]!srIx2Val(S$6,Q85,1)</f>
        <v>7.575757575757576E-3</v>
      </c>
      <c r="S85" s="1001">
        <f>[1]!srIx2Val(S$6,Q85,5)</f>
        <v>675.5</v>
      </c>
      <c r="T85" s="1001">
        <f t="shared" si="12"/>
        <v>-12203.138110928061</v>
      </c>
      <c r="U85" s="465">
        <f>IF(T85&lt;=0,0,[1]!srRng2E(S$6,T85))</f>
        <v>0</v>
      </c>
      <c r="V85" s="482" t="e">
        <f t="shared" si="13"/>
        <v>#N/A</v>
      </c>
      <c r="W85" s="466">
        <f t="shared" si="14"/>
        <v>7.575757575757576E-3</v>
      </c>
      <c r="X85" s="466" t="e">
        <f t="shared" si="15"/>
        <v>#N/A</v>
      </c>
      <c r="Y85" s="466">
        <f t="shared" si="16"/>
        <v>1</v>
      </c>
      <c r="AA85" s="35">
        <f t="shared" si="17"/>
        <v>94</v>
      </c>
      <c r="AB85" s="556">
        <f>[1]!srIx2Val(AC$6,AA85,1)</f>
        <v>7.4999999999999997E-3</v>
      </c>
      <c r="AC85" s="1001">
        <f>[1]!srIx2Val(AC$6,AA85,5)</f>
        <v>557.46</v>
      </c>
      <c r="AD85" s="1001">
        <f t="shared" si="18"/>
        <v>-8869.8480530617708</v>
      </c>
      <c r="AE85" s="465">
        <f>IF(AD85&lt;=0,0,[1]!srRng2E(AC$6,AD85))</f>
        <v>0</v>
      </c>
      <c r="AF85" s="466" t="e">
        <f t="shared" si="19"/>
        <v>#N/A</v>
      </c>
      <c r="AG85" s="466">
        <f t="shared" si="20"/>
        <v>7.4999999999999997E-3</v>
      </c>
      <c r="AH85" s="466" t="e">
        <f t="shared" si="21"/>
        <v>#N/A</v>
      </c>
      <c r="AI85" s="466">
        <f t="shared" si="22"/>
        <v>0.3</v>
      </c>
    </row>
    <row r="86" spans="17:35">
      <c r="Q86" s="35">
        <f t="shared" si="23"/>
        <v>95</v>
      </c>
      <c r="R86" s="556">
        <f>[1]!srIx2Val(S$6,Q86,1)</f>
        <v>8.3333333333333332E-3</v>
      </c>
      <c r="S86" s="1001">
        <f>[1]!srIx2Val(S$6,Q86,5)</f>
        <v>744.35</v>
      </c>
      <c r="T86" s="1001">
        <f t="shared" si="12"/>
        <v>-12134.288110928061</v>
      </c>
      <c r="U86" s="465">
        <f>IF(T86&lt;=0,0,[1]!srRng2E(S$6,T86))</f>
        <v>0</v>
      </c>
      <c r="V86" s="482" t="e">
        <f t="shared" si="13"/>
        <v>#N/A</v>
      </c>
      <c r="W86" s="466">
        <f t="shared" si="14"/>
        <v>8.3333333333333332E-3</v>
      </c>
      <c r="X86" s="466" t="e">
        <f t="shared" si="15"/>
        <v>#N/A</v>
      </c>
      <c r="Y86" s="466">
        <f t="shared" si="16"/>
        <v>1.1000000000000001</v>
      </c>
      <c r="AA86" s="35">
        <f t="shared" si="17"/>
        <v>95</v>
      </c>
      <c r="AB86" s="556">
        <f>[1]!srIx2Val(AC$6,AA86,1)</f>
        <v>8.1250000000000003E-3</v>
      </c>
      <c r="AC86" s="1001">
        <f>[1]!srIx2Val(AC$6,AA86,5)</f>
        <v>604.42999999999995</v>
      </c>
      <c r="AD86" s="1001">
        <f t="shared" si="18"/>
        <v>-8822.8780530617714</v>
      </c>
      <c r="AE86" s="465">
        <f>IF(AD86&lt;=0,0,[1]!srRng2E(AC$6,AD86))</f>
        <v>0</v>
      </c>
      <c r="AF86" s="466" t="e">
        <f t="shared" si="19"/>
        <v>#N/A</v>
      </c>
      <c r="AG86" s="466">
        <f t="shared" si="20"/>
        <v>8.1250000000000003E-3</v>
      </c>
      <c r="AH86" s="466" t="e">
        <f t="shared" si="21"/>
        <v>#N/A</v>
      </c>
      <c r="AI86" s="466">
        <f t="shared" si="22"/>
        <v>0.32500000000000001</v>
      </c>
    </row>
    <row r="87" spans="17:35">
      <c r="Q87" s="35">
        <f t="shared" si="23"/>
        <v>96</v>
      </c>
      <c r="R87" s="556">
        <f>[1]!srIx2Val(S$6,Q87,1)</f>
        <v>9.0909090909090905E-3</v>
      </c>
      <c r="S87" s="1001">
        <f>[1]!srIx2Val(S$6,Q87,5)</f>
        <v>813.62</v>
      </c>
      <c r="T87" s="1001">
        <f t="shared" si="12"/>
        <v>-12065.01811092806</v>
      </c>
      <c r="U87" s="465">
        <f>IF(T87&lt;=0,0,[1]!srRng2E(S$6,T87))</f>
        <v>0</v>
      </c>
      <c r="V87" s="482" t="e">
        <f t="shared" si="13"/>
        <v>#N/A</v>
      </c>
      <c r="W87" s="466">
        <f t="shared" si="14"/>
        <v>9.0909090909090905E-3</v>
      </c>
      <c r="X87" s="466" t="e">
        <f t="shared" si="15"/>
        <v>#N/A</v>
      </c>
      <c r="Y87" s="466">
        <f t="shared" si="16"/>
        <v>1.2</v>
      </c>
      <c r="AA87" s="35">
        <f t="shared" si="17"/>
        <v>96</v>
      </c>
      <c r="AB87" s="556">
        <f>[1]!srIx2Val(AC$6,AA87,1)</f>
        <v>8.7499999999999991E-3</v>
      </c>
      <c r="AC87" s="1001">
        <f>[1]!srIx2Val(AC$6,AA87,5)</f>
        <v>651.19000000000005</v>
      </c>
      <c r="AD87" s="1001">
        <f t="shared" si="18"/>
        <v>-8776.1180530617712</v>
      </c>
      <c r="AE87" s="465">
        <f>IF(AD87&lt;=0,0,[1]!srRng2E(AC$6,AD87))</f>
        <v>0</v>
      </c>
      <c r="AF87" s="466" t="e">
        <f t="shared" si="19"/>
        <v>#N/A</v>
      </c>
      <c r="AG87" s="466">
        <f t="shared" si="20"/>
        <v>8.7499999999999991E-3</v>
      </c>
      <c r="AH87" s="466" t="e">
        <f t="shared" si="21"/>
        <v>#N/A</v>
      </c>
      <c r="AI87" s="466">
        <f t="shared" si="22"/>
        <v>0.35</v>
      </c>
    </row>
    <row r="88" spans="17:35">
      <c r="Q88" s="35">
        <f t="shared" si="23"/>
        <v>97</v>
      </c>
      <c r="R88" s="556">
        <f>[1]!srIx2Val(S$6,Q88,1)</f>
        <v>9.8484848484848495E-3</v>
      </c>
      <c r="S88" s="1001">
        <f>[1]!srIx2Val(S$6,Q88,5)</f>
        <v>883.22</v>
      </c>
      <c r="T88" s="1001">
        <f t="shared" si="12"/>
        <v>-11995.418110928062</v>
      </c>
      <c r="U88" s="465">
        <f>IF(T88&lt;=0,0,[1]!srRng2E(S$6,T88))</f>
        <v>0</v>
      </c>
      <c r="V88" s="482" t="e">
        <f t="shared" si="13"/>
        <v>#N/A</v>
      </c>
      <c r="W88" s="466">
        <f t="shared" si="14"/>
        <v>9.8484848484848495E-3</v>
      </c>
      <c r="X88" s="466" t="e">
        <f t="shared" si="15"/>
        <v>#N/A</v>
      </c>
      <c r="Y88" s="466">
        <f t="shared" si="16"/>
        <v>1.3</v>
      </c>
      <c r="AA88" s="35">
        <f t="shared" si="17"/>
        <v>97</v>
      </c>
      <c r="AB88" s="556">
        <f>[1]!srIx2Val(AC$6,AA88,1)</f>
        <v>9.3749999999999997E-3</v>
      </c>
      <c r="AC88" s="1001">
        <f>[1]!srIx2Val(AC$6,AA88,5)</f>
        <v>697.69</v>
      </c>
      <c r="AD88" s="1001">
        <f t="shared" si="18"/>
        <v>-8729.6180530617712</v>
      </c>
      <c r="AE88" s="465">
        <f>IF(AD88&lt;=0,0,[1]!srRng2E(AC$6,AD88))</f>
        <v>0</v>
      </c>
      <c r="AF88" s="466" t="e">
        <f t="shared" si="19"/>
        <v>#N/A</v>
      </c>
      <c r="AG88" s="466">
        <f t="shared" si="20"/>
        <v>9.3749999999999997E-3</v>
      </c>
      <c r="AH88" s="466" t="e">
        <f t="shared" si="21"/>
        <v>#N/A</v>
      </c>
      <c r="AI88" s="466">
        <f t="shared" si="22"/>
        <v>0.375</v>
      </c>
    </row>
    <row r="89" spans="17:35">
      <c r="Q89" s="35">
        <f t="shared" si="23"/>
        <v>98</v>
      </c>
      <c r="R89" s="556">
        <f>[1]!srIx2Val(S$6,Q89,1)</f>
        <v>1.0606060606060605E-2</v>
      </c>
      <c r="S89" s="1001">
        <f>[1]!srIx2Val(S$6,Q89,5)</f>
        <v>953.06</v>
      </c>
      <c r="T89" s="1001">
        <f t="shared" si="12"/>
        <v>-11925.578110928062</v>
      </c>
      <c r="U89" s="465">
        <f>IF(T89&lt;=0,0,[1]!srRng2E(S$6,T89))</f>
        <v>0</v>
      </c>
      <c r="V89" s="482" t="e">
        <f t="shared" si="13"/>
        <v>#N/A</v>
      </c>
      <c r="W89" s="466">
        <f t="shared" si="14"/>
        <v>1.0606060606060605E-2</v>
      </c>
      <c r="X89" s="466" t="e">
        <f t="shared" si="15"/>
        <v>#N/A</v>
      </c>
      <c r="Y89" s="466">
        <f t="shared" si="16"/>
        <v>1.4</v>
      </c>
      <c r="AA89" s="35">
        <f t="shared" si="17"/>
        <v>98</v>
      </c>
      <c r="AB89" s="556">
        <f>[1]!srIx2Val(AC$6,AA89,1)</f>
        <v>0.01</v>
      </c>
      <c r="AC89" s="1001">
        <f>[1]!srIx2Val(AC$6,AA89,5)</f>
        <v>743.89</v>
      </c>
      <c r="AD89" s="1001">
        <f t="shared" si="18"/>
        <v>-8683.4180530617723</v>
      </c>
      <c r="AE89" s="465">
        <f>IF(AD89&lt;=0,0,[1]!srRng2E(AC$6,AD89))</f>
        <v>0</v>
      </c>
      <c r="AF89" s="466" t="e">
        <f t="shared" si="19"/>
        <v>#N/A</v>
      </c>
      <c r="AG89" s="466">
        <f t="shared" si="20"/>
        <v>0.01</v>
      </c>
      <c r="AH89" s="466" t="e">
        <f t="shared" si="21"/>
        <v>#N/A</v>
      </c>
      <c r="AI89" s="466">
        <f t="shared" si="22"/>
        <v>0.4</v>
      </c>
    </row>
    <row r="90" spans="17:35">
      <c r="Q90" s="35">
        <f t="shared" si="23"/>
        <v>99</v>
      </c>
      <c r="R90" s="556">
        <f>[1]!srIx2Val(S$6,Q90,1)</f>
        <v>1.1363636363636364E-2</v>
      </c>
      <c r="S90" s="1001">
        <f>[1]!srIx2Val(S$6,Q90,5)</f>
        <v>1020</v>
      </c>
      <c r="T90" s="1001">
        <f t="shared" si="12"/>
        <v>-11858.638110928061</v>
      </c>
      <c r="U90" s="465">
        <f>IF(T90&lt;=0,0,[1]!srRng2E(S$6,T90))</f>
        <v>0</v>
      </c>
      <c r="V90" s="482" t="e">
        <f t="shared" si="13"/>
        <v>#N/A</v>
      </c>
      <c r="W90" s="466">
        <f t="shared" si="14"/>
        <v>1.1363636363636364E-2</v>
      </c>
      <c r="X90" s="466" t="e">
        <f t="shared" si="15"/>
        <v>#N/A</v>
      </c>
      <c r="Y90" s="466">
        <f t="shared" si="16"/>
        <v>1.5</v>
      </c>
      <c r="AA90" s="35">
        <f t="shared" si="17"/>
        <v>99</v>
      </c>
      <c r="AB90" s="556">
        <f>[1]!srIx2Val(AC$6,AA90,1)</f>
        <v>1.125E-2</v>
      </c>
      <c r="AC90" s="1001">
        <f>[1]!srIx2Val(AC$6,AA90,5)</f>
        <v>835.34</v>
      </c>
      <c r="AD90" s="1001">
        <f t="shared" si="18"/>
        <v>-8591.9680530617716</v>
      </c>
      <c r="AE90" s="465">
        <f>IF(AD90&lt;=0,0,[1]!srRng2E(AC$6,AD90))</f>
        <v>0</v>
      </c>
      <c r="AF90" s="466" t="e">
        <f t="shared" si="19"/>
        <v>#N/A</v>
      </c>
      <c r="AG90" s="466">
        <f t="shared" si="20"/>
        <v>1.125E-2</v>
      </c>
      <c r="AH90" s="466" t="e">
        <f t="shared" si="21"/>
        <v>#N/A</v>
      </c>
      <c r="AI90" s="466">
        <f t="shared" si="22"/>
        <v>0.44999999999999996</v>
      </c>
    </row>
    <row r="91" spans="17:35">
      <c r="Q91" s="35">
        <f t="shared" si="23"/>
        <v>100</v>
      </c>
      <c r="R91" s="556">
        <f>[1]!srIx2Val(S$6,Q91,1)</f>
        <v>1.2121212121212121E-2</v>
      </c>
      <c r="S91" s="1001">
        <f>[1]!srIx2Val(S$6,Q91,5)</f>
        <v>1090</v>
      </c>
      <c r="T91" s="1001">
        <f t="shared" si="12"/>
        <v>-11788.638110928061</v>
      </c>
      <c r="U91" s="465">
        <f>IF(T91&lt;=0,0,[1]!srRng2E(S$6,T91))</f>
        <v>0</v>
      </c>
      <c r="V91" s="482" t="e">
        <f t="shared" si="13"/>
        <v>#N/A</v>
      </c>
      <c r="W91" s="466">
        <f t="shared" si="14"/>
        <v>1.2121212121212121E-2</v>
      </c>
      <c r="X91" s="466" t="e">
        <f t="shared" si="15"/>
        <v>#N/A</v>
      </c>
      <c r="Y91" s="466">
        <f t="shared" si="16"/>
        <v>1.6</v>
      </c>
      <c r="AA91" s="35">
        <f t="shared" si="17"/>
        <v>100</v>
      </c>
      <c r="AB91" s="556">
        <f>[1]!srIx2Val(AC$6,AA91,1)</f>
        <v>1.2500000000000001E-2</v>
      </c>
      <c r="AC91" s="1001">
        <f>[1]!srIx2Val(AC$6,AA91,5)</f>
        <v>925.41</v>
      </c>
      <c r="AD91" s="1001">
        <f t="shared" si="18"/>
        <v>-8501.8980530617719</v>
      </c>
      <c r="AE91" s="465">
        <f>IF(AD91&lt;=0,0,[1]!srRng2E(AC$6,AD91))</f>
        <v>0</v>
      </c>
      <c r="AF91" s="466" t="e">
        <f t="shared" si="19"/>
        <v>#N/A</v>
      </c>
      <c r="AG91" s="466">
        <f t="shared" si="20"/>
        <v>1.2500000000000001E-2</v>
      </c>
      <c r="AH91" s="466" t="e">
        <f t="shared" si="21"/>
        <v>#N/A</v>
      </c>
      <c r="AI91" s="466">
        <f t="shared" si="22"/>
        <v>0.5</v>
      </c>
    </row>
    <row r="92" spans="17:35">
      <c r="Q92" s="35">
        <f t="shared" si="23"/>
        <v>101</v>
      </c>
      <c r="R92" s="556">
        <f>[1]!srIx2Val(S$6,Q92,1)</f>
        <v>1.2878787878787878E-2</v>
      </c>
      <c r="S92" s="1001">
        <f>[1]!srIx2Val(S$6,Q92,5)</f>
        <v>1160</v>
      </c>
      <c r="T92" s="1001">
        <f t="shared" si="12"/>
        <v>-11718.638110928061</v>
      </c>
      <c r="U92" s="465">
        <f>IF(T92&lt;=0,0,[1]!srRng2E(S$6,T92))</f>
        <v>0</v>
      </c>
      <c r="V92" s="482" t="e">
        <f t="shared" si="13"/>
        <v>#N/A</v>
      </c>
      <c r="W92" s="466">
        <f t="shared" si="14"/>
        <v>1.2878787878787878E-2</v>
      </c>
      <c r="X92" s="466" t="e">
        <f t="shared" si="15"/>
        <v>#N/A</v>
      </c>
      <c r="Y92" s="466">
        <f t="shared" si="16"/>
        <v>1.7</v>
      </c>
      <c r="AA92" s="35">
        <f t="shared" si="17"/>
        <v>101</v>
      </c>
      <c r="AB92" s="556">
        <f>[1]!srIx2Val(AC$6,AA92,1)</f>
        <v>1.3750000000000002E-2</v>
      </c>
      <c r="AC92" s="1001">
        <f>[1]!srIx2Val(AC$6,AA92,5)</f>
        <v>1010</v>
      </c>
      <c r="AD92" s="1001">
        <f t="shared" si="18"/>
        <v>-8417.3080530617717</v>
      </c>
      <c r="AE92" s="465">
        <f>IF(AD92&lt;=0,0,[1]!srRng2E(AC$6,AD92))</f>
        <v>0</v>
      </c>
      <c r="AF92" s="466" t="e">
        <f t="shared" si="19"/>
        <v>#N/A</v>
      </c>
      <c r="AG92" s="466">
        <f t="shared" si="20"/>
        <v>1.3750000000000002E-2</v>
      </c>
      <c r="AH92" s="466" t="e">
        <f t="shared" si="21"/>
        <v>#N/A</v>
      </c>
      <c r="AI92" s="466">
        <f t="shared" si="22"/>
        <v>0.55000000000000004</v>
      </c>
    </row>
    <row r="93" spans="17:35">
      <c r="Q93" s="35">
        <f t="shared" si="23"/>
        <v>102</v>
      </c>
      <c r="R93" s="556">
        <f>[1]!srIx2Val(S$6,Q93,1)</f>
        <v>1.3636363636363637E-2</v>
      </c>
      <c r="S93" s="1001">
        <f>[1]!srIx2Val(S$6,Q93,5)</f>
        <v>1230</v>
      </c>
      <c r="T93" s="1001">
        <f t="shared" si="12"/>
        <v>-11648.638110928061</v>
      </c>
      <c r="U93" s="465">
        <f>IF(T93&lt;=0,0,[1]!srRng2E(S$6,T93))</f>
        <v>0</v>
      </c>
      <c r="V93" s="482" t="e">
        <f t="shared" si="13"/>
        <v>#N/A</v>
      </c>
      <c r="W93" s="466">
        <f t="shared" si="14"/>
        <v>1.3636363636363637E-2</v>
      </c>
      <c r="X93" s="466" t="e">
        <f t="shared" si="15"/>
        <v>#N/A</v>
      </c>
      <c r="Y93" s="466">
        <f t="shared" si="16"/>
        <v>1.8</v>
      </c>
      <c r="AA93" s="35">
        <f t="shared" si="17"/>
        <v>102</v>
      </c>
      <c r="AB93" s="556">
        <f>[1]!srIx2Val(AC$6,AA93,1)</f>
        <v>1.4999999999999999E-2</v>
      </c>
      <c r="AC93" s="1001">
        <f>[1]!srIx2Val(AC$6,AA93,5)</f>
        <v>1100</v>
      </c>
      <c r="AD93" s="1001">
        <f t="shared" si="18"/>
        <v>-8327.3080530617717</v>
      </c>
      <c r="AE93" s="465">
        <f>IF(AD93&lt;=0,0,[1]!srRng2E(AC$6,AD93))</f>
        <v>0</v>
      </c>
      <c r="AF93" s="466" t="e">
        <f t="shared" si="19"/>
        <v>#N/A</v>
      </c>
      <c r="AG93" s="466">
        <f t="shared" si="20"/>
        <v>1.4999999999999999E-2</v>
      </c>
      <c r="AH93" s="466" t="e">
        <f t="shared" si="21"/>
        <v>#N/A</v>
      </c>
      <c r="AI93" s="466">
        <f t="shared" si="22"/>
        <v>0.6</v>
      </c>
    </row>
    <row r="94" spans="17:35">
      <c r="Q94" s="35">
        <f t="shared" si="23"/>
        <v>103</v>
      </c>
      <c r="R94" s="556">
        <f>[1]!srIx2Val(S$6,Q94,1)</f>
        <v>1.5151515151515152E-2</v>
      </c>
      <c r="S94" s="1001">
        <f>[1]!srIx2Val(S$6,Q94,5)</f>
        <v>1370</v>
      </c>
      <c r="T94" s="1001">
        <f t="shared" si="12"/>
        <v>-11508.638110928061</v>
      </c>
      <c r="U94" s="465">
        <f>IF(T94&lt;=0,0,[1]!srRng2E(S$6,T94))</f>
        <v>0</v>
      </c>
      <c r="V94" s="482" t="e">
        <f t="shared" si="13"/>
        <v>#N/A</v>
      </c>
      <c r="W94" s="466">
        <f t="shared" si="14"/>
        <v>1.5151515151515152E-2</v>
      </c>
      <c r="X94" s="466" t="e">
        <f t="shared" si="15"/>
        <v>#N/A</v>
      </c>
      <c r="Y94" s="466">
        <f t="shared" si="16"/>
        <v>2</v>
      </c>
      <c r="AA94" s="35">
        <f t="shared" si="17"/>
        <v>103</v>
      </c>
      <c r="AB94" s="556">
        <f>[1]!srIx2Val(AC$6,AA94,1)</f>
        <v>1.6250000000000001E-2</v>
      </c>
      <c r="AC94" s="1001">
        <f>[1]!srIx2Val(AC$6,AA94,5)</f>
        <v>1190</v>
      </c>
      <c r="AD94" s="1001">
        <f t="shared" si="18"/>
        <v>-8237.3080530617717</v>
      </c>
      <c r="AE94" s="465">
        <f>IF(AD94&lt;=0,0,[1]!srRng2E(AC$6,AD94))</f>
        <v>0</v>
      </c>
      <c r="AF94" s="466" t="e">
        <f t="shared" si="19"/>
        <v>#N/A</v>
      </c>
      <c r="AG94" s="466">
        <f t="shared" si="20"/>
        <v>1.6250000000000001E-2</v>
      </c>
      <c r="AH94" s="466" t="e">
        <f t="shared" si="21"/>
        <v>#N/A</v>
      </c>
      <c r="AI94" s="466">
        <f t="shared" si="22"/>
        <v>0.65</v>
      </c>
    </row>
    <row r="95" spans="17:35">
      <c r="Q95" s="35">
        <f t="shared" si="23"/>
        <v>104</v>
      </c>
      <c r="R95" s="556">
        <f>[1]!srIx2Val(S$6,Q95,1)</f>
        <v>1.7045454545454544E-2</v>
      </c>
      <c r="S95" s="1001">
        <f>[1]!srIx2Val(S$6,Q95,5)</f>
        <v>1550</v>
      </c>
      <c r="T95" s="1001">
        <f t="shared" si="12"/>
        <v>-11328.638110928061</v>
      </c>
      <c r="U95" s="465">
        <f>IF(T95&lt;=0,0,[1]!srRng2E(S$6,T95))</f>
        <v>0</v>
      </c>
      <c r="V95" s="482" t="e">
        <f t="shared" si="13"/>
        <v>#N/A</v>
      </c>
      <c r="W95" s="466">
        <f t="shared" si="14"/>
        <v>1.7045454545454544E-2</v>
      </c>
      <c r="X95" s="466" t="e">
        <f t="shared" si="15"/>
        <v>#N/A</v>
      </c>
      <c r="Y95" s="466">
        <f t="shared" si="16"/>
        <v>2.25</v>
      </c>
      <c r="AA95" s="35">
        <f t="shared" si="17"/>
        <v>104</v>
      </c>
      <c r="AB95" s="556">
        <f>[1]!srIx2Val(AC$6,AA95,1)</f>
        <v>1.7499999999999998E-2</v>
      </c>
      <c r="AC95" s="1001">
        <f>[1]!srIx2Val(AC$6,AA95,5)</f>
        <v>1270</v>
      </c>
      <c r="AD95" s="1001">
        <f t="shared" si="18"/>
        <v>-8157.3080530617717</v>
      </c>
      <c r="AE95" s="465">
        <f>IF(AD95&lt;=0,0,[1]!srRng2E(AC$6,AD95))</f>
        <v>0</v>
      </c>
      <c r="AF95" s="466" t="e">
        <f t="shared" si="19"/>
        <v>#N/A</v>
      </c>
      <c r="AG95" s="466">
        <f t="shared" si="20"/>
        <v>1.7499999999999998E-2</v>
      </c>
      <c r="AH95" s="466" t="e">
        <f t="shared" si="21"/>
        <v>#N/A</v>
      </c>
      <c r="AI95" s="466">
        <f t="shared" si="22"/>
        <v>0.7</v>
      </c>
    </row>
    <row r="96" spans="17:35">
      <c r="Q96" s="35">
        <f t="shared" si="23"/>
        <v>105</v>
      </c>
      <c r="R96" s="556">
        <f>[1]!srIx2Val(S$6,Q96,1)</f>
        <v>1.893939393939394E-2</v>
      </c>
      <c r="S96" s="1001">
        <f>[1]!srIx2Val(S$6,Q96,5)</f>
        <v>1720</v>
      </c>
      <c r="T96" s="1001">
        <f t="shared" si="12"/>
        <v>-11158.638110928061</v>
      </c>
      <c r="U96" s="465">
        <f>IF(T96&lt;=0,0,[1]!srRng2E(S$6,T96))</f>
        <v>0</v>
      </c>
      <c r="V96" s="482" t="e">
        <f t="shared" si="13"/>
        <v>#N/A</v>
      </c>
      <c r="W96" s="466">
        <f t="shared" si="14"/>
        <v>1.893939393939394E-2</v>
      </c>
      <c r="X96" s="466" t="e">
        <f t="shared" si="15"/>
        <v>#N/A</v>
      </c>
      <c r="Y96" s="466">
        <f t="shared" si="16"/>
        <v>2.5</v>
      </c>
      <c r="AA96" s="35">
        <f t="shared" si="17"/>
        <v>105</v>
      </c>
      <c r="AB96" s="556">
        <f>[1]!srIx2Val(AC$6,AA96,1)</f>
        <v>0.02</v>
      </c>
      <c r="AC96" s="1001">
        <f>[1]!srIx2Val(AC$6,AA96,5)</f>
        <v>1440</v>
      </c>
      <c r="AD96" s="1001">
        <f t="shared" si="18"/>
        <v>-7987.3080530617717</v>
      </c>
      <c r="AE96" s="465">
        <f>IF(AD96&lt;=0,0,[1]!srRng2E(AC$6,AD96))</f>
        <v>0</v>
      </c>
      <c r="AF96" s="466" t="e">
        <f t="shared" si="19"/>
        <v>#N/A</v>
      </c>
      <c r="AG96" s="466">
        <f t="shared" si="20"/>
        <v>0.02</v>
      </c>
      <c r="AH96" s="466" t="e">
        <f t="shared" si="21"/>
        <v>#N/A</v>
      </c>
      <c r="AI96" s="466">
        <f t="shared" si="22"/>
        <v>0.8</v>
      </c>
    </row>
    <row r="97" spans="17:35">
      <c r="Q97" s="35">
        <f t="shared" si="23"/>
        <v>106</v>
      </c>
      <c r="R97" s="556">
        <f>[1]!srIx2Val(S$6,Q97,1)</f>
        <v>2.0833333333333332E-2</v>
      </c>
      <c r="S97" s="1001">
        <f>[1]!srIx2Val(S$6,Q97,5)</f>
        <v>1900</v>
      </c>
      <c r="T97" s="1001">
        <f t="shared" si="12"/>
        <v>-10978.638110928061</v>
      </c>
      <c r="U97" s="465">
        <f>IF(T97&lt;=0,0,[1]!srRng2E(S$6,T97))</f>
        <v>0</v>
      </c>
      <c r="V97" s="482" t="e">
        <f t="shared" si="13"/>
        <v>#N/A</v>
      </c>
      <c r="W97" s="466">
        <f t="shared" si="14"/>
        <v>2.0833333333333332E-2</v>
      </c>
      <c r="X97" s="466" t="e">
        <f t="shared" si="15"/>
        <v>#N/A</v>
      </c>
      <c r="Y97" s="466">
        <f t="shared" si="16"/>
        <v>2.75</v>
      </c>
      <c r="AA97" s="35">
        <f t="shared" si="17"/>
        <v>106</v>
      </c>
      <c r="AB97" s="556">
        <f>[1]!srIx2Val(AC$6,AA97,1)</f>
        <v>2.2499999999999999E-2</v>
      </c>
      <c r="AC97" s="1001">
        <f>[1]!srIx2Val(AC$6,AA97,5)</f>
        <v>1600</v>
      </c>
      <c r="AD97" s="1001">
        <f t="shared" si="18"/>
        <v>-7827.3080530617717</v>
      </c>
      <c r="AE97" s="465">
        <f>IF(AD97&lt;=0,0,[1]!srRng2E(AC$6,AD97))</f>
        <v>0</v>
      </c>
      <c r="AF97" s="466" t="e">
        <f t="shared" si="19"/>
        <v>#N/A</v>
      </c>
      <c r="AG97" s="466">
        <f t="shared" si="20"/>
        <v>2.2499999999999999E-2</v>
      </c>
      <c r="AH97" s="466" t="e">
        <f t="shared" si="21"/>
        <v>#N/A</v>
      </c>
      <c r="AI97" s="466">
        <f t="shared" si="22"/>
        <v>0.89999999999999991</v>
      </c>
    </row>
    <row r="98" spans="17:35">
      <c r="Q98" s="35">
        <f t="shared" si="23"/>
        <v>107</v>
      </c>
      <c r="R98" s="556">
        <f>[1]!srIx2Val(S$6,Q98,1)</f>
        <v>2.2727272727272728E-2</v>
      </c>
      <c r="S98" s="1001">
        <f>[1]!srIx2Val(S$6,Q98,5)</f>
        <v>2070</v>
      </c>
      <c r="T98" s="1001">
        <f t="shared" si="12"/>
        <v>-10808.638110928061</v>
      </c>
      <c r="U98" s="465">
        <f>IF(T98&lt;=0,0,[1]!srRng2E(S$6,T98))</f>
        <v>0</v>
      </c>
      <c r="V98" s="482" t="e">
        <f t="shared" si="13"/>
        <v>#N/A</v>
      </c>
      <c r="W98" s="466">
        <f t="shared" si="14"/>
        <v>2.2727272727272728E-2</v>
      </c>
      <c r="X98" s="466" t="e">
        <f t="shared" si="15"/>
        <v>#N/A</v>
      </c>
      <c r="Y98" s="466">
        <f t="shared" si="16"/>
        <v>3</v>
      </c>
      <c r="AA98" s="35">
        <f t="shared" si="17"/>
        <v>107</v>
      </c>
      <c r="AB98" s="556">
        <f>[1]!srIx2Val(AC$6,AA98,1)</f>
        <v>2.5000000000000001E-2</v>
      </c>
      <c r="AC98" s="1001">
        <f>[1]!srIx2Val(AC$6,AA98,5)</f>
        <v>1750</v>
      </c>
      <c r="AD98" s="1001">
        <f t="shared" si="18"/>
        <v>-7677.3080530617717</v>
      </c>
      <c r="AE98" s="465">
        <f>IF(AD98&lt;=0,0,[1]!srRng2E(AC$6,AD98))</f>
        <v>0</v>
      </c>
      <c r="AF98" s="466" t="e">
        <f t="shared" si="19"/>
        <v>#N/A</v>
      </c>
      <c r="AG98" s="466">
        <f t="shared" si="20"/>
        <v>2.5000000000000001E-2</v>
      </c>
      <c r="AH98" s="466" t="e">
        <f t="shared" si="21"/>
        <v>#N/A</v>
      </c>
      <c r="AI98" s="466">
        <f t="shared" si="22"/>
        <v>1</v>
      </c>
    </row>
    <row r="99" spans="17:35">
      <c r="Q99" s="35">
        <f t="shared" si="23"/>
        <v>108</v>
      </c>
      <c r="R99" s="556">
        <f>[1]!srIx2Val(S$6,Q99,1)</f>
        <v>2.462121212121212E-2</v>
      </c>
      <c r="S99" s="1001">
        <f>[1]!srIx2Val(S$6,Q99,5)</f>
        <v>2240</v>
      </c>
      <c r="T99" s="1001">
        <f t="shared" si="12"/>
        <v>-10638.638110928061</v>
      </c>
      <c r="U99" s="465">
        <f>IF(T99&lt;=0,0,[1]!srRng2E(S$6,T99))</f>
        <v>0</v>
      </c>
      <c r="V99" s="482" t="e">
        <f t="shared" si="13"/>
        <v>#N/A</v>
      </c>
      <c r="W99" s="466">
        <f t="shared" si="14"/>
        <v>2.462121212121212E-2</v>
      </c>
      <c r="X99" s="466" t="e">
        <f t="shared" si="15"/>
        <v>#N/A</v>
      </c>
      <c r="Y99" s="466">
        <f t="shared" si="16"/>
        <v>3.25</v>
      </c>
      <c r="AA99" s="35">
        <f t="shared" si="17"/>
        <v>108</v>
      </c>
      <c r="AB99" s="556">
        <f>[1]!srIx2Val(AC$6,AA99,1)</f>
        <v>2.7500000000000004E-2</v>
      </c>
      <c r="AC99" s="1001">
        <f>[1]!srIx2Val(AC$6,AA99,5)</f>
        <v>1910</v>
      </c>
      <c r="AD99" s="1001">
        <f t="shared" si="18"/>
        <v>-7517.3080530617717</v>
      </c>
      <c r="AE99" s="465">
        <f>IF(AD99&lt;=0,0,[1]!srRng2E(AC$6,AD99))</f>
        <v>0</v>
      </c>
      <c r="AF99" s="466" t="e">
        <f t="shared" si="19"/>
        <v>#N/A</v>
      </c>
      <c r="AG99" s="466">
        <f t="shared" si="20"/>
        <v>2.7500000000000004E-2</v>
      </c>
      <c r="AH99" s="466" t="e">
        <f t="shared" si="21"/>
        <v>#N/A</v>
      </c>
      <c r="AI99" s="466">
        <f t="shared" si="22"/>
        <v>1.1000000000000001</v>
      </c>
    </row>
    <row r="100" spans="17:35">
      <c r="Q100" s="35">
        <f t="shared" si="23"/>
        <v>109</v>
      </c>
      <c r="R100" s="556">
        <f>[1]!srIx2Val(S$6,Q100,1)</f>
        <v>2.6515151515151516E-2</v>
      </c>
      <c r="S100" s="1001">
        <f>[1]!srIx2Val(S$6,Q100,5)</f>
        <v>2410</v>
      </c>
      <c r="T100" s="1001">
        <f t="shared" si="12"/>
        <v>-10468.638110928061</v>
      </c>
      <c r="U100" s="465">
        <f>IF(T100&lt;=0,0,[1]!srRng2E(S$6,T100))</f>
        <v>0</v>
      </c>
      <c r="V100" s="482" t="e">
        <f t="shared" si="13"/>
        <v>#N/A</v>
      </c>
      <c r="W100" s="466">
        <f t="shared" si="14"/>
        <v>2.6515151515151516E-2</v>
      </c>
      <c r="X100" s="466" t="e">
        <f t="shared" si="15"/>
        <v>#N/A</v>
      </c>
      <c r="Y100" s="466">
        <f t="shared" si="16"/>
        <v>3.5</v>
      </c>
      <c r="AA100" s="35">
        <f t="shared" si="17"/>
        <v>109</v>
      </c>
      <c r="AB100" s="556">
        <f>[1]!srIx2Val(AC$6,AA100,1)</f>
        <v>0.03</v>
      </c>
      <c r="AC100" s="1001">
        <f>[1]!srIx2Val(AC$6,AA100,5)</f>
        <v>2060</v>
      </c>
      <c r="AD100" s="1001">
        <f t="shared" si="18"/>
        <v>-7367.3080530617717</v>
      </c>
      <c r="AE100" s="465">
        <f>IF(AD100&lt;=0,0,[1]!srRng2E(AC$6,AD100))</f>
        <v>0</v>
      </c>
      <c r="AF100" s="466" t="e">
        <f t="shared" si="19"/>
        <v>#N/A</v>
      </c>
      <c r="AG100" s="466">
        <f t="shared" si="20"/>
        <v>0.03</v>
      </c>
      <c r="AH100" s="466" t="e">
        <f t="shared" si="21"/>
        <v>#N/A</v>
      </c>
      <c r="AI100" s="466">
        <f t="shared" si="22"/>
        <v>1.2</v>
      </c>
    </row>
    <row r="101" spans="17:35">
      <c r="Q101" s="35">
        <f t="shared" si="23"/>
        <v>110</v>
      </c>
      <c r="R101" s="556">
        <f>[1]!srIx2Val(S$6,Q101,1)</f>
        <v>2.8409090909090908E-2</v>
      </c>
      <c r="S101" s="1001">
        <f>[1]!srIx2Val(S$6,Q101,5)</f>
        <v>2580</v>
      </c>
      <c r="T101" s="1001">
        <f t="shared" si="12"/>
        <v>-10298.638110928061</v>
      </c>
      <c r="U101" s="465">
        <f>IF(T101&lt;=0,0,[1]!srRng2E(S$6,T101))</f>
        <v>0</v>
      </c>
      <c r="V101" s="482" t="e">
        <f t="shared" si="13"/>
        <v>#N/A</v>
      </c>
      <c r="W101" s="466">
        <f t="shared" si="14"/>
        <v>2.8409090909090908E-2</v>
      </c>
      <c r="X101" s="466" t="e">
        <f t="shared" si="15"/>
        <v>#N/A</v>
      </c>
      <c r="Y101" s="466">
        <f t="shared" si="16"/>
        <v>3.75</v>
      </c>
      <c r="AA101" s="35">
        <f t="shared" si="17"/>
        <v>110</v>
      </c>
      <c r="AB101" s="556">
        <f>[1]!srIx2Val(AC$6,AA101,1)</f>
        <v>3.2500000000000001E-2</v>
      </c>
      <c r="AC101" s="1001">
        <f>[1]!srIx2Val(AC$6,AA101,5)</f>
        <v>2200</v>
      </c>
      <c r="AD101" s="1001">
        <f t="shared" si="18"/>
        <v>-7227.3080530617717</v>
      </c>
      <c r="AE101" s="465">
        <f>IF(AD101&lt;=0,0,[1]!srRng2E(AC$6,AD101))</f>
        <v>0</v>
      </c>
      <c r="AF101" s="466" t="e">
        <f t="shared" si="19"/>
        <v>#N/A</v>
      </c>
      <c r="AG101" s="466">
        <f t="shared" si="20"/>
        <v>3.2500000000000001E-2</v>
      </c>
      <c r="AH101" s="466" t="e">
        <f t="shared" si="21"/>
        <v>#N/A</v>
      </c>
      <c r="AI101" s="466">
        <f t="shared" si="22"/>
        <v>1.3</v>
      </c>
    </row>
    <row r="102" spans="17:35">
      <c r="Q102" s="35">
        <f t="shared" si="23"/>
        <v>111</v>
      </c>
      <c r="R102" s="556">
        <f>[1]!srIx2Val(S$6,Q102,1)</f>
        <v>3.0303030303030304E-2</v>
      </c>
      <c r="S102" s="1001">
        <f>[1]!srIx2Val(S$6,Q102,5)</f>
        <v>2750</v>
      </c>
      <c r="T102" s="1001">
        <f t="shared" si="12"/>
        <v>-10128.638110928061</v>
      </c>
      <c r="U102" s="465">
        <f>IF(T102&lt;=0,0,[1]!srRng2E(S$6,T102))</f>
        <v>0</v>
      </c>
      <c r="V102" s="482" t="e">
        <f t="shared" si="13"/>
        <v>#N/A</v>
      </c>
      <c r="W102" s="466">
        <f t="shared" si="14"/>
        <v>3.0303030303030304E-2</v>
      </c>
      <c r="X102" s="466" t="e">
        <f t="shared" si="15"/>
        <v>#N/A</v>
      </c>
      <c r="Y102" s="466">
        <f t="shared" si="16"/>
        <v>4</v>
      </c>
      <c r="AA102" s="35">
        <f t="shared" si="17"/>
        <v>111</v>
      </c>
      <c r="AB102" s="556">
        <f>[1]!srIx2Val(AC$6,AA102,1)</f>
        <v>3.4999999999999996E-2</v>
      </c>
      <c r="AC102" s="1001">
        <f>[1]!srIx2Val(AC$6,AA102,5)</f>
        <v>2340</v>
      </c>
      <c r="AD102" s="1001">
        <f t="shared" si="18"/>
        <v>-7087.3080530617717</v>
      </c>
      <c r="AE102" s="465">
        <f>IF(AD102&lt;=0,0,[1]!srRng2E(AC$6,AD102))</f>
        <v>0</v>
      </c>
      <c r="AF102" s="466" t="e">
        <f t="shared" si="19"/>
        <v>#N/A</v>
      </c>
      <c r="AG102" s="466">
        <f t="shared" si="20"/>
        <v>3.4999999999999996E-2</v>
      </c>
      <c r="AH102" s="466" t="e">
        <f t="shared" si="21"/>
        <v>#N/A</v>
      </c>
      <c r="AI102" s="466">
        <f t="shared" si="22"/>
        <v>1.4</v>
      </c>
    </row>
    <row r="103" spans="17:35">
      <c r="Q103" s="35">
        <f t="shared" si="23"/>
        <v>112</v>
      </c>
      <c r="R103" s="556">
        <f>[1]!srIx2Val(S$6,Q103,1)</f>
        <v>3.4090909090909088E-2</v>
      </c>
      <c r="S103" s="1001">
        <f>[1]!srIx2Val(S$6,Q103,5)</f>
        <v>3080</v>
      </c>
      <c r="T103" s="1001">
        <f t="shared" si="12"/>
        <v>-9798.638110928061</v>
      </c>
      <c r="U103" s="465">
        <f>IF(T103&lt;=0,0,[1]!srRng2E(S$6,T103))</f>
        <v>0</v>
      </c>
      <c r="V103" s="482" t="e">
        <f t="shared" si="13"/>
        <v>#N/A</v>
      </c>
      <c r="W103" s="466">
        <f t="shared" si="14"/>
        <v>3.4090909090909088E-2</v>
      </c>
      <c r="X103" s="466" t="e">
        <f t="shared" si="15"/>
        <v>#N/A</v>
      </c>
      <c r="Y103" s="466">
        <f t="shared" si="16"/>
        <v>4.5</v>
      </c>
      <c r="AA103" s="35">
        <f t="shared" si="17"/>
        <v>112</v>
      </c>
      <c r="AB103" s="556">
        <f>[1]!srIx2Val(AC$6,AA103,1)</f>
        <v>3.7499999999999999E-2</v>
      </c>
      <c r="AC103" s="1001">
        <f>[1]!srIx2Val(AC$6,AA103,5)</f>
        <v>2480</v>
      </c>
      <c r="AD103" s="1001">
        <f t="shared" si="18"/>
        <v>-6947.3080530617717</v>
      </c>
      <c r="AE103" s="465">
        <f>IF(AD103&lt;=0,0,[1]!srRng2E(AC$6,AD103))</f>
        <v>0</v>
      </c>
      <c r="AF103" s="466" t="e">
        <f t="shared" si="19"/>
        <v>#N/A</v>
      </c>
      <c r="AG103" s="466">
        <f t="shared" si="20"/>
        <v>3.7499999999999999E-2</v>
      </c>
      <c r="AH103" s="466" t="e">
        <f t="shared" si="21"/>
        <v>#N/A</v>
      </c>
      <c r="AI103" s="466">
        <f t="shared" si="22"/>
        <v>1.5</v>
      </c>
    </row>
    <row r="104" spans="17:35">
      <c r="Q104" s="35">
        <f t="shared" si="23"/>
        <v>113</v>
      </c>
      <c r="R104" s="556">
        <f>[1]!srIx2Val(S$6,Q104,1)</f>
        <v>3.787878787878788E-2</v>
      </c>
      <c r="S104" s="1001">
        <f>[1]!srIx2Val(S$6,Q104,5)</f>
        <v>3410</v>
      </c>
      <c r="T104" s="1001">
        <f t="shared" si="12"/>
        <v>-9468.638110928061</v>
      </c>
      <c r="U104" s="465">
        <f>IF(T104&lt;=0,0,[1]!srRng2E(S$6,T104))</f>
        <v>0</v>
      </c>
      <c r="V104" s="482" t="e">
        <f t="shared" si="13"/>
        <v>#N/A</v>
      </c>
      <c r="W104" s="466">
        <f t="shared" si="14"/>
        <v>3.787878787878788E-2</v>
      </c>
      <c r="X104" s="466" t="e">
        <f t="shared" si="15"/>
        <v>#N/A</v>
      </c>
      <c r="Y104" s="466">
        <f t="shared" si="16"/>
        <v>5</v>
      </c>
      <c r="AA104" s="35">
        <f t="shared" si="17"/>
        <v>113</v>
      </c>
      <c r="AB104" s="556">
        <f>[1]!srIx2Val(AC$6,AA104,1)</f>
        <v>0.04</v>
      </c>
      <c r="AC104" s="1001">
        <f>[1]!srIx2Val(AC$6,AA104,5)</f>
        <v>2620</v>
      </c>
      <c r="AD104" s="1001">
        <f t="shared" si="18"/>
        <v>-6807.3080530617717</v>
      </c>
      <c r="AE104" s="465">
        <f>IF(AD104&lt;=0,0,[1]!srRng2E(AC$6,AD104))</f>
        <v>0</v>
      </c>
      <c r="AF104" s="466" t="e">
        <f t="shared" si="19"/>
        <v>#N/A</v>
      </c>
      <c r="AG104" s="466">
        <f t="shared" si="20"/>
        <v>0.04</v>
      </c>
      <c r="AH104" s="466" t="e">
        <f t="shared" si="21"/>
        <v>#N/A</v>
      </c>
      <c r="AI104" s="466">
        <f t="shared" si="22"/>
        <v>1.6</v>
      </c>
    </row>
    <row r="105" spans="17:35">
      <c r="Q105" s="35">
        <f t="shared" si="23"/>
        <v>114</v>
      </c>
      <c r="R105" s="556">
        <f>[1]!srIx2Val(S$6,Q105,1)</f>
        <v>4.1666666666666664E-2</v>
      </c>
      <c r="S105" s="1001">
        <f>[1]!srIx2Val(S$6,Q105,5)</f>
        <v>3730</v>
      </c>
      <c r="T105" s="1001">
        <f t="shared" si="12"/>
        <v>-9148.638110928061</v>
      </c>
      <c r="U105" s="465">
        <f>IF(T105&lt;=0,0,[1]!srRng2E(S$6,T105))</f>
        <v>0</v>
      </c>
      <c r="V105" s="482" t="e">
        <f t="shared" si="13"/>
        <v>#N/A</v>
      </c>
      <c r="W105" s="466">
        <f t="shared" si="14"/>
        <v>4.1666666666666664E-2</v>
      </c>
      <c r="X105" s="466" t="e">
        <f t="shared" si="15"/>
        <v>#N/A</v>
      </c>
      <c r="Y105" s="466">
        <f t="shared" si="16"/>
        <v>5.5</v>
      </c>
      <c r="AA105" s="35">
        <f t="shared" si="17"/>
        <v>114</v>
      </c>
      <c r="AB105" s="556">
        <f>[1]!srIx2Val(AC$6,AA105,1)</f>
        <v>4.2499999999999996E-2</v>
      </c>
      <c r="AC105" s="1001">
        <f>[1]!srIx2Val(AC$6,AA105,5)</f>
        <v>2750</v>
      </c>
      <c r="AD105" s="1001">
        <f t="shared" si="18"/>
        <v>-6677.3080530617717</v>
      </c>
      <c r="AE105" s="465">
        <f>IF(AD105&lt;=0,0,[1]!srRng2E(AC$6,AD105))</f>
        <v>0</v>
      </c>
      <c r="AF105" s="466" t="e">
        <f t="shared" si="19"/>
        <v>#N/A</v>
      </c>
      <c r="AG105" s="466">
        <f t="shared" si="20"/>
        <v>4.2499999999999996E-2</v>
      </c>
      <c r="AH105" s="466" t="e">
        <f t="shared" si="21"/>
        <v>#N/A</v>
      </c>
      <c r="AI105" s="466">
        <f t="shared" si="22"/>
        <v>1.6999999999999997</v>
      </c>
    </row>
    <row r="106" spans="17:35">
      <c r="Q106" s="35">
        <f t="shared" si="23"/>
        <v>115</v>
      </c>
      <c r="R106" s="556">
        <f>[1]!srIx2Val(S$6,Q106,1)</f>
        <v>4.5454545454545456E-2</v>
      </c>
      <c r="S106" s="1001">
        <f>[1]!srIx2Val(S$6,Q106,5)</f>
        <v>4050</v>
      </c>
      <c r="T106" s="1001">
        <f t="shared" si="12"/>
        <v>-8828.638110928061</v>
      </c>
      <c r="U106" s="465">
        <f>IF(T106&lt;=0,0,[1]!srRng2E(S$6,T106))</f>
        <v>0</v>
      </c>
      <c r="V106" s="482" t="e">
        <f t="shared" si="13"/>
        <v>#N/A</v>
      </c>
      <c r="W106" s="466">
        <f t="shared" si="14"/>
        <v>4.5454545454545456E-2</v>
      </c>
      <c r="X106" s="466" t="e">
        <f t="shared" si="15"/>
        <v>#N/A</v>
      </c>
      <c r="Y106" s="466">
        <f t="shared" si="16"/>
        <v>6</v>
      </c>
      <c r="AA106" s="35">
        <f t="shared" si="17"/>
        <v>115</v>
      </c>
      <c r="AB106" s="556">
        <f>[1]!srIx2Val(AC$6,AA106,1)</f>
        <v>4.4999999999999998E-2</v>
      </c>
      <c r="AC106" s="1001">
        <f>[1]!srIx2Val(AC$6,AA106,5)</f>
        <v>2880</v>
      </c>
      <c r="AD106" s="1001">
        <f t="shared" si="18"/>
        <v>-6547.3080530617717</v>
      </c>
      <c r="AE106" s="465">
        <f>IF(AD106&lt;=0,0,[1]!srRng2E(AC$6,AD106))</f>
        <v>0</v>
      </c>
      <c r="AF106" s="466" t="e">
        <f t="shared" si="19"/>
        <v>#N/A</v>
      </c>
      <c r="AG106" s="466">
        <f t="shared" si="20"/>
        <v>4.4999999999999998E-2</v>
      </c>
      <c r="AH106" s="466" t="e">
        <f t="shared" si="21"/>
        <v>#N/A</v>
      </c>
      <c r="AI106" s="466">
        <f t="shared" si="22"/>
        <v>1.7999999999999998</v>
      </c>
    </row>
    <row r="107" spans="17:35">
      <c r="Q107" s="35">
        <f t="shared" si="23"/>
        <v>116</v>
      </c>
      <c r="R107" s="556">
        <f>[1]!srIx2Val(S$6,Q107,1)</f>
        <v>4.924242424242424E-2</v>
      </c>
      <c r="S107" s="1001">
        <f>[1]!srIx2Val(S$6,Q107,5)</f>
        <v>4360</v>
      </c>
      <c r="T107" s="1001">
        <f t="shared" si="12"/>
        <v>-8518.638110928061</v>
      </c>
      <c r="U107" s="465">
        <f>IF(T107&lt;=0,0,[1]!srRng2E(S$6,T107))</f>
        <v>0</v>
      </c>
      <c r="V107" s="482" t="e">
        <f t="shared" si="13"/>
        <v>#N/A</v>
      </c>
      <c r="W107" s="466">
        <f t="shared" si="14"/>
        <v>4.924242424242424E-2</v>
      </c>
      <c r="X107" s="466" t="e">
        <f t="shared" si="15"/>
        <v>#N/A</v>
      </c>
      <c r="Y107" s="466">
        <f t="shared" si="16"/>
        <v>6.5</v>
      </c>
      <c r="AA107" s="35">
        <f t="shared" si="17"/>
        <v>116</v>
      </c>
      <c r="AB107" s="556">
        <f>[1]!srIx2Val(AC$6,AA107,1)</f>
        <v>0.05</v>
      </c>
      <c r="AC107" s="1001">
        <f>[1]!srIx2Val(AC$6,AA107,5)</f>
        <v>3140</v>
      </c>
      <c r="AD107" s="1001">
        <f t="shared" si="18"/>
        <v>-6287.3080530617717</v>
      </c>
      <c r="AE107" s="465">
        <f>IF(AD107&lt;=0,0,[1]!srRng2E(AC$6,AD107))</f>
        <v>0</v>
      </c>
      <c r="AF107" s="466" t="e">
        <f t="shared" si="19"/>
        <v>#N/A</v>
      </c>
      <c r="AG107" s="466">
        <f t="shared" si="20"/>
        <v>0.05</v>
      </c>
      <c r="AH107" s="466" t="e">
        <f t="shared" si="21"/>
        <v>#N/A</v>
      </c>
      <c r="AI107" s="466">
        <f t="shared" si="22"/>
        <v>2</v>
      </c>
    </row>
    <row r="108" spans="17:35">
      <c r="Q108" s="35">
        <f t="shared" si="23"/>
        <v>117</v>
      </c>
      <c r="R108" s="556">
        <f>[1]!srIx2Val(S$6,Q108,1)</f>
        <v>5.3030303030303032E-2</v>
      </c>
      <c r="S108" s="1001">
        <f>[1]!srIx2Val(S$6,Q108,5)</f>
        <v>4660</v>
      </c>
      <c r="T108" s="1001">
        <f t="shared" si="12"/>
        <v>-8218.638110928061</v>
      </c>
      <c r="U108" s="465">
        <f>IF(T108&lt;=0,0,[1]!srRng2E(S$6,T108))</f>
        <v>0</v>
      </c>
      <c r="V108" s="482" t="e">
        <f t="shared" si="13"/>
        <v>#N/A</v>
      </c>
      <c r="W108" s="466">
        <f t="shared" si="14"/>
        <v>5.3030303030303032E-2</v>
      </c>
      <c r="X108" s="466" t="e">
        <f t="shared" si="15"/>
        <v>#N/A</v>
      </c>
      <c r="Y108" s="466">
        <f t="shared" si="16"/>
        <v>7</v>
      </c>
      <c r="AA108" s="35">
        <f t="shared" si="17"/>
        <v>117</v>
      </c>
      <c r="AB108" s="556">
        <f>[1]!srIx2Val(AC$6,AA108,1)</f>
        <v>5.6250000000000001E-2</v>
      </c>
      <c r="AC108" s="1001">
        <f>[1]!srIx2Val(AC$6,AA108,5)</f>
        <v>3440</v>
      </c>
      <c r="AD108" s="1001">
        <f t="shared" si="18"/>
        <v>-5987.3080530617717</v>
      </c>
      <c r="AE108" s="465">
        <f>IF(AD108&lt;=0,0,[1]!srRng2E(AC$6,AD108))</f>
        <v>0</v>
      </c>
      <c r="AF108" s="466" t="e">
        <f t="shared" si="19"/>
        <v>#N/A</v>
      </c>
      <c r="AG108" s="466">
        <f t="shared" si="20"/>
        <v>5.6250000000000001E-2</v>
      </c>
      <c r="AH108" s="466" t="e">
        <f t="shared" si="21"/>
        <v>#N/A</v>
      </c>
      <c r="AI108" s="466">
        <f t="shared" si="22"/>
        <v>2.25</v>
      </c>
    </row>
    <row r="109" spans="17:35">
      <c r="Q109" s="35">
        <f t="shared" si="23"/>
        <v>118</v>
      </c>
      <c r="R109" s="556">
        <f>[1]!srIx2Val(S$6,Q109,1)</f>
        <v>6.0606060606060608E-2</v>
      </c>
      <c r="S109" s="1001">
        <f>[1]!srIx2Val(S$6,Q109,5)</f>
        <v>5250</v>
      </c>
      <c r="T109" s="1001">
        <f t="shared" si="12"/>
        <v>-7628.638110928061</v>
      </c>
      <c r="U109" s="465">
        <f>IF(T109&lt;=0,0,[1]!srRng2E(S$6,T109))</f>
        <v>0</v>
      </c>
      <c r="V109" s="482" t="e">
        <f t="shared" si="13"/>
        <v>#N/A</v>
      </c>
      <c r="W109" s="466">
        <f t="shared" si="14"/>
        <v>6.0606060606060608E-2</v>
      </c>
      <c r="X109" s="466" t="e">
        <f t="shared" si="15"/>
        <v>#N/A</v>
      </c>
      <c r="Y109" s="466">
        <f t="shared" si="16"/>
        <v>8</v>
      </c>
      <c r="AA109" s="35">
        <f t="shared" si="17"/>
        <v>118</v>
      </c>
      <c r="AB109" s="556">
        <f>[1]!srIx2Val(AC$6,AA109,1)</f>
        <v>6.25E-2</v>
      </c>
      <c r="AC109" s="1001">
        <f>[1]!srIx2Val(AC$6,AA109,5)</f>
        <v>3730</v>
      </c>
      <c r="AD109" s="1001">
        <f t="shared" si="18"/>
        <v>-5697.3080530617717</v>
      </c>
      <c r="AE109" s="465">
        <f>IF(AD109&lt;=0,0,[1]!srRng2E(AC$6,AD109))</f>
        <v>0</v>
      </c>
      <c r="AF109" s="466" t="e">
        <f t="shared" si="19"/>
        <v>#N/A</v>
      </c>
      <c r="AG109" s="466">
        <f t="shared" si="20"/>
        <v>6.25E-2</v>
      </c>
      <c r="AH109" s="466" t="e">
        <f t="shared" si="21"/>
        <v>#N/A</v>
      </c>
      <c r="AI109" s="466">
        <f t="shared" si="22"/>
        <v>2.5</v>
      </c>
    </row>
    <row r="110" spans="17:35">
      <c r="Q110" s="35">
        <f t="shared" si="23"/>
        <v>119</v>
      </c>
      <c r="R110" s="556">
        <f>[1]!srIx2Val(S$6,Q110,1)</f>
        <v>6.8181818181818177E-2</v>
      </c>
      <c r="S110" s="1001">
        <f>[1]!srIx2Val(S$6,Q110,5)</f>
        <v>5800</v>
      </c>
      <c r="T110" s="1001">
        <f t="shared" si="12"/>
        <v>-7078.638110928061</v>
      </c>
      <c r="U110" s="465">
        <f>IF(T110&lt;=0,0,[1]!srRng2E(S$6,T110))</f>
        <v>0</v>
      </c>
      <c r="V110" s="482" t="e">
        <f t="shared" si="13"/>
        <v>#N/A</v>
      </c>
      <c r="W110" s="466">
        <f t="shared" si="14"/>
        <v>6.8181818181818177E-2</v>
      </c>
      <c r="X110" s="466" t="e">
        <f t="shared" si="15"/>
        <v>#N/A</v>
      </c>
      <c r="Y110" s="466">
        <f t="shared" si="16"/>
        <v>9</v>
      </c>
      <c r="AA110" s="35">
        <f t="shared" si="17"/>
        <v>119</v>
      </c>
      <c r="AB110" s="556">
        <f>[1]!srIx2Val(AC$6,AA110,1)</f>
        <v>6.8750000000000006E-2</v>
      </c>
      <c r="AC110" s="1001">
        <f>[1]!srIx2Val(AC$6,AA110,5)</f>
        <v>4000</v>
      </c>
      <c r="AD110" s="1001">
        <f t="shared" si="18"/>
        <v>-5427.3080530617717</v>
      </c>
      <c r="AE110" s="465">
        <f>IF(AD110&lt;=0,0,[1]!srRng2E(AC$6,AD110))</f>
        <v>0</v>
      </c>
      <c r="AF110" s="466" t="e">
        <f t="shared" si="19"/>
        <v>#N/A</v>
      </c>
      <c r="AG110" s="466">
        <f t="shared" si="20"/>
        <v>6.8750000000000006E-2</v>
      </c>
      <c r="AH110" s="466" t="e">
        <f t="shared" si="21"/>
        <v>#N/A</v>
      </c>
      <c r="AI110" s="466">
        <f t="shared" si="22"/>
        <v>2.75</v>
      </c>
    </row>
    <row r="111" spans="17:35">
      <c r="Q111" s="35">
        <f t="shared" si="23"/>
        <v>120</v>
      </c>
      <c r="R111" s="556">
        <f>[1]!srIx2Val(S$6,Q111,1)</f>
        <v>7.575757575757576E-2</v>
      </c>
      <c r="S111" s="1001">
        <f>[1]!srIx2Val(S$6,Q111,5)</f>
        <v>6330</v>
      </c>
      <c r="T111" s="1001">
        <f t="shared" si="12"/>
        <v>-6548.638110928061</v>
      </c>
      <c r="U111" s="465">
        <f>IF(T111&lt;=0,0,[1]!srRng2E(S$6,T111))</f>
        <v>0</v>
      </c>
      <c r="V111" s="482" t="e">
        <f t="shared" si="13"/>
        <v>#N/A</v>
      </c>
      <c r="W111" s="466">
        <f t="shared" si="14"/>
        <v>7.575757575757576E-2</v>
      </c>
      <c r="X111" s="466" t="e">
        <f t="shared" si="15"/>
        <v>#N/A</v>
      </c>
      <c r="Y111" s="466">
        <f t="shared" si="16"/>
        <v>10</v>
      </c>
      <c r="AA111" s="35">
        <f t="shared" si="17"/>
        <v>120</v>
      </c>
      <c r="AB111" s="556">
        <f>[1]!srIx2Val(AC$6,AA111,1)</f>
        <v>7.4999999999999997E-2</v>
      </c>
      <c r="AC111" s="1001">
        <f>[1]!srIx2Val(AC$6,AA111,5)</f>
        <v>4260</v>
      </c>
      <c r="AD111" s="1001">
        <f t="shared" si="18"/>
        <v>-5167.3080530617717</v>
      </c>
      <c r="AE111" s="465">
        <f>IF(AD111&lt;=0,0,[1]!srRng2E(AC$6,AD111))</f>
        <v>0</v>
      </c>
      <c r="AF111" s="466" t="e">
        <f t="shared" si="19"/>
        <v>#N/A</v>
      </c>
      <c r="AG111" s="466">
        <f t="shared" si="20"/>
        <v>7.4999999999999997E-2</v>
      </c>
      <c r="AH111" s="466" t="e">
        <f t="shared" si="21"/>
        <v>#N/A</v>
      </c>
      <c r="AI111" s="466">
        <f t="shared" si="22"/>
        <v>3</v>
      </c>
    </row>
    <row r="112" spans="17:35">
      <c r="Q112" s="35">
        <f t="shared" si="23"/>
        <v>121</v>
      </c>
      <c r="R112" s="556">
        <f>[1]!srIx2Val(S$6,Q112,1)</f>
        <v>8.3333333333333329E-2</v>
      </c>
      <c r="S112" s="1001">
        <f>[1]!srIx2Val(S$6,Q112,5)</f>
        <v>6830</v>
      </c>
      <c r="T112" s="1001">
        <f t="shared" si="12"/>
        <v>-6048.638110928061</v>
      </c>
      <c r="U112" s="465">
        <f>IF(T112&lt;=0,0,[1]!srRng2E(S$6,T112))</f>
        <v>0</v>
      </c>
      <c r="V112" s="482" t="e">
        <f t="shared" si="13"/>
        <v>#N/A</v>
      </c>
      <c r="W112" s="466">
        <f t="shared" si="14"/>
        <v>8.3333333333333329E-2</v>
      </c>
      <c r="X112" s="466" t="e">
        <f t="shared" si="15"/>
        <v>#N/A</v>
      </c>
      <c r="Y112" s="466">
        <f t="shared" si="16"/>
        <v>11</v>
      </c>
      <c r="AA112" s="35">
        <f t="shared" si="17"/>
        <v>121</v>
      </c>
      <c r="AB112" s="556">
        <f>[1]!srIx2Val(AC$6,AA112,1)</f>
        <v>8.1250000000000003E-2</v>
      </c>
      <c r="AC112" s="1001">
        <f>[1]!srIx2Val(AC$6,AA112,5)</f>
        <v>4510</v>
      </c>
      <c r="AD112" s="1001">
        <f t="shared" si="18"/>
        <v>-4917.3080530617717</v>
      </c>
      <c r="AE112" s="465">
        <f>IF(AD112&lt;=0,0,[1]!srRng2E(AC$6,AD112))</f>
        <v>0</v>
      </c>
      <c r="AF112" s="466" t="e">
        <f t="shared" si="19"/>
        <v>#N/A</v>
      </c>
      <c r="AG112" s="466">
        <f t="shared" si="20"/>
        <v>8.1250000000000003E-2</v>
      </c>
      <c r="AH112" s="466" t="e">
        <f t="shared" si="21"/>
        <v>#N/A</v>
      </c>
      <c r="AI112" s="466">
        <f t="shared" si="22"/>
        <v>3.25</v>
      </c>
    </row>
    <row r="113" spans="17:35">
      <c r="Q113" s="35">
        <f t="shared" si="23"/>
        <v>122</v>
      </c>
      <c r="R113" s="556">
        <f>[1]!srIx2Val(S$6,Q113,1)</f>
        <v>9.0909090909090912E-2</v>
      </c>
      <c r="S113" s="1001">
        <f>[1]!srIx2Val(S$6,Q113,5)</f>
        <v>7310</v>
      </c>
      <c r="T113" s="1001">
        <f t="shared" si="12"/>
        <v>-5568.638110928061</v>
      </c>
      <c r="U113" s="465">
        <f>IF(T113&lt;=0,0,[1]!srRng2E(S$6,T113))</f>
        <v>0</v>
      </c>
      <c r="V113" s="482" t="e">
        <f t="shared" si="13"/>
        <v>#N/A</v>
      </c>
      <c r="W113" s="466">
        <f t="shared" si="14"/>
        <v>9.0909090909090912E-2</v>
      </c>
      <c r="X113" s="466" t="e">
        <f t="shared" si="15"/>
        <v>#N/A</v>
      </c>
      <c r="Y113" s="466">
        <f t="shared" si="16"/>
        <v>12</v>
      </c>
      <c r="AA113" s="35">
        <f t="shared" si="17"/>
        <v>122</v>
      </c>
      <c r="AB113" s="556">
        <f>[1]!srIx2Val(AC$6,AA113,1)</f>
        <v>8.7499999999999994E-2</v>
      </c>
      <c r="AC113" s="1001">
        <f>[1]!srIx2Val(AC$6,AA113,5)</f>
        <v>4750</v>
      </c>
      <c r="AD113" s="1001">
        <f t="shared" si="18"/>
        <v>-4677.3080530617717</v>
      </c>
      <c r="AE113" s="465">
        <f>IF(AD113&lt;=0,0,[1]!srRng2E(AC$6,AD113))</f>
        <v>0</v>
      </c>
      <c r="AF113" s="466" t="e">
        <f t="shared" si="19"/>
        <v>#N/A</v>
      </c>
      <c r="AG113" s="466">
        <f t="shared" si="20"/>
        <v>8.7499999999999994E-2</v>
      </c>
      <c r="AH113" s="466" t="e">
        <f t="shared" si="21"/>
        <v>#N/A</v>
      </c>
      <c r="AI113" s="466">
        <f t="shared" si="22"/>
        <v>3.5</v>
      </c>
    </row>
    <row r="114" spans="17:35">
      <c r="Q114" s="35">
        <f t="shared" si="23"/>
        <v>123</v>
      </c>
      <c r="R114" s="556">
        <f>[1]!srIx2Val(S$6,Q114,1)</f>
        <v>9.8484848484848481E-2</v>
      </c>
      <c r="S114" s="1001">
        <f>[1]!srIx2Val(S$6,Q114,5)</f>
        <v>7760</v>
      </c>
      <c r="T114" s="1001">
        <f t="shared" si="12"/>
        <v>-5118.638110928061</v>
      </c>
      <c r="U114" s="465">
        <f>IF(T114&lt;=0,0,[1]!srRng2E(S$6,T114))</f>
        <v>0</v>
      </c>
      <c r="V114" s="482" t="e">
        <f t="shared" si="13"/>
        <v>#N/A</v>
      </c>
      <c r="W114" s="466">
        <f t="shared" si="14"/>
        <v>9.8484848484848481E-2</v>
      </c>
      <c r="X114" s="466" t="e">
        <f t="shared" si="15"/>
        <v>#N/A</v>
      </c>
      <c r="Y114" s="466">
        <f t="shared" si="16"/>
        <v>13</v>
      </c>
      <c r="AA114" s="35">
        <f t="shared" si="17"/>
        <v>123</v>
      </c>
      <c r="AB114" s="556">
        <f>[1]!srIx2Val(AC$6,AA114,1)</f>
        <v>9.375E-2</v>
      </c>
      <c r="AC114" s="1001">
        <f>[1]!srIx2Val(AC$6,AA114,5)</f>
        <v>4970</v>
      </c>
      <c r="AD114" s="1001">
        <f t="shared" si="18"/>
        <v>-4457.3080530617717</v>
      </c>
      <c r="AE114" s="465">
        <f>IF(AD114&lt;=0,0,[1]!srRng2E(AC$6,AD114))</f>
        <v>0</v>
      </c>
      <c r="AF114" s="466" t="e">
        <f t="shared" si="19"/>
        <v>#N/A</v>
      </c>
      <c r="AG114" s="466">
        <f t="shared" si="20"/>
        <v>9.375E-2</v>
      </c>
      <c r="AH114" s="466" t="e">
        <f t="shared" si="21"/>
        <v>#N/A</v>
      </c>
      <c r="AI114" s="466">
        <f t="shared" si="22"/>
        <v>3.75</v>
      </c>
    </row>
    <row r="115" spans="17:35">
      <c r="Q115" s="35">
        <f t="shared" si="23"/>
        <v>124</v>
      </c>
      <c r="R115" s="556">
        <f>[1]!srIx2Val(S$6,Q115,1)</f>
        <v>0.10606060606060606</v>
      </c>
      <c r="S115" s="1001">
        <f>[1]!srIx2Val(S$6,Q115,5)</f>
        <v>8180</v>
      </c>
      <c r="T115" s="1001">
        <f t="shared" si="12"/>
        <v>-4698.638110928061</v>
      </c>
      <c r="U115" s="465">
        <f>IF(T115&lt;=0,0,[1]!srRng2E(S$6,T115))</f>
        <v>0</v>
      </c>
      <c r="V115" s="482" t="e">
        <f t="shared" si="13"/>
        <v>#N/A</v>
      </c>
      <c r="W115" s="466">
        <f t="shared" si="14"/>
        <v>0.10606060606060606</v>
      </c>
      <c r="X115" s="466" t="e">
        <f t="shared" si="15"/>
        <v>#N/A</v>
      </c>
      <c r="Y115" s="466">
        <f t="shared" si="16"/>
        <v>14</v>
      </c>
      <c r="AA115" s="35">
        <f t="shared" si="17"/>
        <v>124</v>
      </c>
      <c r="AB115" s="556">
        <f>[1]!srIx2Val(AC$6,AA115,1)</f>
        <v>0.1</v>
      </c>
      <c r="AC115" s="1001">
        <f>[1]!srIx2Val(AC$6,AA115,5)</f>
        <v>5190</v>
      </c>
      <c r="AD115" s="1001">
        <f t="shared" si="18"/>
        <v>-4237.3080530617717</v>
      </c>
      <c r="AE115" s="465">
        <f>IF(AD115&lt;=0,0,[1]!srRng2E(AC$6,AD115))</f>
        <v>0</v>
      </c>
      <c r="AF115" s="466" t="e">
        <f t="shared" si="19"/>
        <v>#N/A</v>
      </c>
      <c r="AG115" s="466">
        <f t="shared" si="20"/>
        <v>0.1</v>
      </c>
      <c r="AH115" s="466" t="e">
        <f t="shared" si="21"/>
        <v>#N/A</v>
      </c>
      <c r="AI115" s="466">
        <f t="shared" si="22"/>
        <v>4</v>
      </c>
    </row>
    <row r="116" spans="17:35">
      <c r="Q116" s="35">
        <f t="shared" si="23"/>
        <v>125</v>
      </c>
      <c r="R116" s="556">
        <f>[1]!srIx2Val(S$6,Q116,1)</f>
        <v>0.11363636363636363</v>
      </c>
      <c r="S116" s="1001">
        <f>[1]!srIx2Val(S$6,Q116,5)</f>
        <v>8590</v>
      </c>
      <c r="T116" s="1001">
        <f t="shared" si="12"/>
        <v>-4288.638110928061</v>
      </c>
      <c r="U116" s="465">
        <f>IF(T116&lt;=0,0,[1]!srRng2E(S$6,T116))</f>
        <v>0</v>
      </c>
      <c r="V116" s="482" t="e">
        <f t="shared" si="13"/>
        <v>#N/A</v>
      </c>
      <c r="W116" s="466">
        <f t="shared" si="14"/>
        <v>0.11363636363636363</v>
      </c>
      <c r="X116" s="466" t="e">
        <f t="shared" si="15"/>
        <v>#N/A</v>
      </c>
      <c r="Y116" s="466">
        <f t="shared" si="16"/>
        <v>15</v>
      </c>
      <c r="AA116" s="35">
        <f t="shared" si="17"/>
        <v>125</v>
      </c>
      <c r="AB116" s="556">
        <f>[1]!srIx2Val(AC$6,AA116,1)</f>
        <v>0.1125</v>
      </c>
      <c r="AC116" s="1001">
        <f>[1]!srIx2Val(AC$6,AA116,5)</f>
        <v>5590</v>
      </c>
      <c r="AD116" s="1001">
        <f t="shared" si="18"/>
        <v>-3837.3080530617717</v>
      </c>
      <c r="AE116" s="465">
        <f>IF(AD116&lt;=0,0,[1]!srRng2E(AC$6,AD116))</f>
        <v>0</v>
      </c>
      <c r="AF116" s="466" t="e">
        <f t="shared" si="19"/>
        <v>#N/A</v>
      </c>
      <c r="AG116" s="466">
        <f t="shared" si="20"/>
        <v>0.1125</v>
      </c>
      <c r="AH116" s="466" t="e">
        <f t="shared" si="21"/>
        <v>#N/A</v>
      </c>
      <c r="AI116" s="466">
        <f t="shared" si="22"/>
        <v>4.5</v>
      </c>
    </row>
    <row r="117" spans="17:35">
      <c r="Q117" s="35">
        <f t="shared" si="23"/>
        <v>126</v>
      </c>
      <c r="R117" s="556">
        <f>[1]!srIx2Val(S$6,Q117,1)</f>
        <v>0.12121212121212122</v>
      </c>
      <c r="S117" s="1001">
        <f>[1]!srIx2Val(S$6,Q117,5)</f>
        <v>8970</v>
      </c>
      <c r="T117" s="1001">
        <f t="shared" si="12"/>
        <v>-3908.638110928061</v>
      </c>
      <c r="U117" s="465">
        <f>IF(T117&lt;=0,0,[1]!srRng2E(S$6,T117))</f>
        <v>0</v>
      </c>
      <c r="V117" s="482" t="e">
        <f t="shared" si="13"/>
        <v>#N/A</v>
      </c>
      <c r="W117" s="466">
        <f t="shared" si="14"/>
        <v>0.12121212121212122</v>
      </c>
      <c r="X117" s="466" t="e">
        <f t="shared" si="15"/>
        <v>#N/A</v>
      </c>
      <c r="Y117" s="466">
        <f t="shared" si="16"/>
        <v>16</v>
      </c>
      <c r="AA117" s="35">
        <f t="shared" si="17"/>
        <v>126</v>
      </c>
      <c r="AB117" s="556">
        <f>[1]!srIx2Val(AC$6,AA117,1)</f>
        <v>0.125</v>
      </c>
      <c r="AC117" s="1001">
        <f>[1]!srIx2Val(AC$6,AA117,5)</f>
        <v>5960</v>
      </c>
      <c r="AD117" s="1001">
        <f t="shared" si="18"/>
        <v>-3467.3080530617717</v>
      </c>
      <c r="AE117" s="465">
        <f>IF(AD117&lt;=0,0,[1]!srRng2E(AC$6,AD117))</f>
        <v>0</v>
      </c>
      <c r="AF117" s="466" t="e">
        <f t="shared" si="19"/>
        <v>#N/A</v>
      </c>
      <c r="AG117" s="466">
        <f t="shared" si="20"/>
        <v>0.125</v>
      </c>
      <c r="AH117" s="466" t="e">
        <f t="shared" si="21"/>
        <v>#N/A</v>
      </c>
      <c r="AI117" s="466">
        <f t="shared" si="22"/>
        <v>5</v>
      </c>
    </row>
    <row r="118" spans="17:35">
      <c r="Q118" s="35">
        <f t="shared" si="23"/>
        <v>127</v>
      </c>
      <c r="R118" s="556">
        <f>[1]!srIx2Val(S$6,Q118,1)</f>
        <v>0.12878787878787878</v>
      </c>
      <c r="S118" s="1001">
        <f>[1]!srIx2Val(S$6,Q118,5)</f>
        <v>9340</v>
      </c>
      <c r="T118" s="1001">
        <f t="shared" si="12"/>
        <v>-3538.638110928061</v>
      </c>
      <c r="U118" s="465">
        <f>IF(T118&lt;=0,0,[1]!srRng2E(S$6,T118))</f>
        <v>0</v>
      </c>
      <c r="V118" s="482" t="e">
        <f t="shared" si="13"/>
        <v>#N/A</v>
      </c>
      <c r="W118" s="466">
        <f t="shared" si="14"/>
        <v>0.12878787878787878</v>
      </c>
      <c r="X118" s="466" t="e">
        <f t="shared" si="15"/>
        <v>#N/A</v>
      </c>
      <c r="Y118" s="466">
        <f t="shared" si="16"/>
        <v>17</v>
      </c>
      <c r="AA118" s="35">
        <f t="shared" si="17"/>
        <v>127</v>
      </c>
      <c r="AB118" s="556">
        <f>[1]!srIx2Val(AC$6,AA118,1)</f>
        <v>0.13750000000000001</v>
      </c>
      <c r="AC118" s="1001">
        <f>[1]!srIx2Val(AC$6,AA118,5)</f>
        <v>6310</v>
      </c>
      <c r="AD118" s="1001">
        <f t="shared" si="18"/>
        <v>-3117.3080530617717</v>
      </c>
      <c r="AE118" s="465">
        <f>IF(AD118&lt;=0,0,[1]!srRng2E(AC$6,AD118))</f>
        <v>0</v>
      </c>
      <c r="AF118" s="466" t="e">
        <f t="shared" si="19"/>
        <v>#N/A</v>
      </c>
      <c r="AG118" s="466">
        <f t="shared" si="20"/>
        <v>0.13750000000000001</v>
      </c>
      <c r="AH118" s="466" t="e">
        <f t="shared" si="21"/>
        <v>#N/A</v>
      </c>
      <c r="AI118" s="466">
        <f t="shared" si="22"/>
        <v>5.5</v>
      </c>
    </row>
    <row r="119" spans="17:35">
      <c r="Q119" s="35">
        <f t="shared" si="23"/>
        <v>128</v>
      </c>
      <c r="R119" s="556">
        <f>[1]!srIx2Val(S$6,Q119,1)</f>
        <v>0.13636363636363635</v>
      </c>
      <c r="S119" s="1001">
        <f>[1]!srIx2Val(S$6,Q119,5)</f>
        <v>9680</v>
      </c>
      <c r="T119" s="1001">
        <f t="shared" si="12"/>
        <v>-3198.638110928061</v>
      </c>
      <c r="U119" s="465">
        <f>IF(T119&lt;=0,0,[1]!srRng2E(S$6,T119))</f>
        <v>0</v>
      </c>
      <c r="V119" s="482" t="e">
        <f t="shared" si="13"/>
        <v>#N/A</v>
      </c>
      <c r="W119" s="466">
        <f t="shared" si="14"/>
        <v>0.13636363636363635</v>
      </c>
      <c r="X119" s="466" t="e">
        <f t="shared" si="15"/>
        <v>#N/A</v>
      </c>
      <c r="Y119" s="466">
        <f t="shared" si="16"/>
        <v>18</v>
      </c>
      <c r="AA119" s="35">
        <f t="shared" si="17"/>
        <v>128</v>
      </c>
      <c r="AB119" s="556">
        <f>[1]!srIx2Val(AC$6,AA119,1)</f>
        <v>0.15</v>
      </c>
      <c r="AC119" s="1001">
        <f>[1]!srIx2Val(AC$6,AA119,5)</f>
        <v>6620</v>
      </c>
      <c r="AD119" s="1001">
        <f t="shared" si="18"/>
        <v>-2807.3080530617717</v>
      </c>
      <c r="AE119" s="465">
        <f>IF(AD119&lt;=0,0,[1]!srRng2E(AC$6,AD119))</f>
        <v>0</v>
      </c>
      <c r="AF119" s="466" t="e">
        <f t="shared" si="19"/>
        <v>#N/A</v>
      </c>
      <c r="AG119" s="466">
        <f t="shared" si="20"/>
        <v>0.15</v>
      </c>
      <c r="AH119" s="466" t="e">
        <f t="shared" si="21"/>
        <v>#N/A</v>
      </c>
      <c r="AI119" s="466">
        <f t="shared" si="22"/>
        <v>6</v>
      </c>
    </row>
    <row r="120" spans="17:35">
      <c r="Q120" s="35">
        <f t="shared" si="23"/>
        <v>129</v>
      </c>
      <c r="R120" s="556">
        <f>[1]!srIx2Val(S$6,Q120,1)</f>
        <v>0.15151515151515152</v>
      </c>
      <c r="S120" s="1001">
        <f>[1]!srIx2Val(S$6,Q120,5)</f>
        <v>10330</v>
      </c>
      <c r="T120" s="1001">
        <f t="shared" si="12"/>
        <v>-2548.638110928061</v>
      </c>
      <c r="U120" s="465">
        <f>IF(T120&lt;=0,0,[1]!srRng2E(S$6,T120))</f>
        <v>0</v>
      </c>
      <c r="V120" s="482" t="e">
        <f t="shared" si="13"/>
        <v>#N/A</v>
      </c>
      <c r="W120" s="466">
        <f t="shared" si="14"/>
        <v>0.15151515151515152</v>
      </c>
      <c r="X120" s="466" t="e">
        <f t="shared" si="15"/>
        <v>#N/A</v>
      </c>
      <c r="Y120" s="466">
        <f t="shared" si="16"/>
        <v>20</v>
      </c>
      <c r="AA120" s="35">
        <f t="shared" si="17"/>
        <v>129</v>
      </c>
      <c r="AB120" s="556">
        <f>[1]!srIx2Val(AC$6,AA120,1)</f>
        <v>0.16250000000000001</v>
      </c>
      <c r="AC120" s="1001">
        <f>[1]!srIx2Val(AC$6,AA120,5)</f>
        <v>6920</v>
      </c>
      <c r="AD120" s="1001">
        <f t="shared" si="18"/>
        <v>-2507.3080530617717</v>
      </c>
      <c r="AE120" s="465">
        <f>IF(AD120&lt;=0,0,[1]!srRng2E(AC$6,AD120))</f>
        <v>0</v>
      </c>
      <c r="AF120" s="466" t="e">
        <f t="shared" si="19"/>
        <v>#N/A</v>
      </c>
      <c r="AG120" s="466">
        <f t="shared" si="20"/>
        <v>0.16250000000000001</v>
      </c>
      <c r="AH120" s="466" t="e">
        <f t="shared" si="21"/>
        <v>#N/A</v>
      </c>
      <c r="AI120" s="466">
        <f t="shared" si="22"/>
        <v>6.5</v>
      </c>
    </row>
    <row r="121" spans="17:35">
      <c r="Q121" s="35">
        <f t="shared" si="23"/>
        <v>130</v>
      </c>
      <c r="R121" s="556">
        <f>[1]!srIx2Val(S$6,Q121,1)</f>
        <v>0.17045454545454544</v>
      </c>
      <c r="S121" s="1001">
        <f>[1]!srIx2Val(S$6,Q121,5)</f>
        <v>11070</v>
      </c>
      <c r="T121" s="1001">
        <f t="shared" si="12"/>
        <v>-1808.638110928061</v>
      </c>
      <c r="U121" s="465">
        <f>IF(T121&lt;=0,0,[1]!srRng2E(S$6,T121))</f>
        <v>0</v>
      </c>
      <c r="V121" s="482" t="e">
        <f t="shared" si="13"/>
        <v>#N/A</v>
      </c>
      <c r="W121" s="466">
        <f t="shared" si="14"/>
        <v>0.17045454545454544</v>
      </c>
      <c r="X121" s="466" t="e">
        <f t="shared" si="15"/>
        <v>#N/A</v>
      </c>
      <c r="Y121" s="466">
        <f t="shared" si="16"/>
        <v>22.5</v>
      </c>
      <c r="AA121" s="35">
        <f t="shared" si="17"/>
        <v>130</v>
      </c>
      <c r="AB121" s="556">
        <f>[1]!srIx2Val(AC$6,AA121,1)</f>
        <v>0.17499999999999999</v>
      </c>
      <c r="AC121" s="1001">
        <f>[1]!srIx2Val(AC$6,AA121,5)</f>
        <v>7200</v>
      </c>
      <c r="AD121" s="1001">
        <f t="shared" si="18"/>
        <v>-2227.3080530617717</v>
      </c>
      <c r="AE121" s="465">
        <f>IF(AD121&lt;=0,0,[1]!srRng2E(AC$6,AD121))</f>
        <v>0</v>
      </c>
      <c r="AF121" s="466" t="e">
        <f t="shared" si="19"/>
        <v>#N/A</v>
      </c>
      <c r="AG121" s="466">
        <f t="shared" si="20"/>
        <v>0.17499999999999999</v>
      </c>
      <c r="AH121" s="466" t="e">
        <f t="shared" si="21"/>
        <v>#N/A</v>
      </c>
      <c r="AI121" s="466">
        <f t="shared" si="22"/>
        <v>7</v>
      </c>
    </row>
    <row r="122" spans="17:35">
      <c r="Q122" s="35">
        <f t="shared" si="23"/>
        <v>131</v>
      </c>
      <c r="R122" s="556">
        <f>[1]!srIx2Val(S$6,Q122,1)</f>
        <v>0.18939393939393939</v>
      </c>
      <c r="S122" s="1001">
        <f>[1]!srIx2Val(S$6,Q122,5)</f>
        <v>11740</v>
      </c>
      <c r="T122" s="1001">
        <f t="shared" si="12"/>
        <v>-1138.638110928061</v>
      </c>
      <c r="U122" s="465">
        <f>IF(T122&lt;=0,0,[1]!srRng2E(S$6,T122))</f>
        <v>0</v>
      </c>
      <c r="V122" s="482" t="e">
        <f t="shared" si="13"/>
        <v>#N/A</v>
      </c>
      <c r="W122" s="466">
        <f t="shared" si="14"/>
        <v>0.18939393939393939</v>
      </c>
      <c r="X122" s="466" t="e">
        <f t="shared" si="15"/>
        <v>#N/A</v>
      </c>
      <c r="Y122" s="466">
        <f t="shared" si="16"/>
        <v>25</v>
      </c>
      <c r="AA122" s="35">
        <f t="shared" si="17"/>
        <v>131</v>
      </c>
      <c r="AB122" s="556">
        <f>[1]!srIx2Val(AC$6,AA122,1)</f>
        <v>0.2</v>
      </c>
      <c r="AC122" s="1001">
        <f>[1]!srIx2Val(AC$6,AA122,5)</f>
        <v>7730</v>
      </c>
      <c r="AD122" s="1001">
        <f t="shared" si="18"/>
        <v>-1697.3080530617717</v>
      </c>
      <c r="AE122" s="465">
        <f>IF(AD122&lt;=0,0,[1]!srRng2E(AC$6,AD122))</f>
        <v>0</v>
      </c>
      <c r="AF122" s="466" t="e">
        <f t="shared" si="19"/>
        <v>#N/A</v>
      </c>
      <c r="AG122" s="466">
        <f t="shared" si="20"/>
        <v>0.2</v>
      </c>
      <c r="AH122" s="466" t="e">
        <f t="shared" si="21"/>
        <v>#N/A</v>
      </c>
      <c r="AI122" s="466">
        <f t="shared" si="22"/>
        <v>8</v>
      </c>
    </row>
    <row r="123" spans="17:35">
      <c r="Q123" s="35">
        <f t="shared" si="23"/>
        <v>132</v>
      </c>
      <c r="R123" s="556">
        <f>[1]!srIx2Val(S$6,Q123,1)</f>
        <v>0.20833333333333334</v>
      </c>
      <c r="S123" s="1001">
        <f>[1]!srIx2Val(S$6,Q123,5)</f>
        <v>12350</v>
      </c>
      <c r="T123" s="1001">
        <f t="shared" si="12"/>
        <v>-528.638110928061</v>
      </c>
      <c r="U123" s="465">
        <f>IF(T123&lt;=0,0,[1]!srRng2E(S$6,T123))</f>
        <v>0</v>
      </c>
      <c r="V123" s="482" t="e">
        <f t="shared" si="13"/>
        <v>#N/A</v>
      </c>
      <c r="W123" s="466">
        <f t="shared" si="14"/>
        <v>0.20833333333333334</v>
      </c>
      <c r="X123" s="466" t="e">
        <f t="shared" si="15"/>
        <v>#N/A</v>
      </c>
      <c r="Y123" s="466">
        <f t="shared" si="16"/>
        <v>27.5</v>
      </c>
      <c r="AA123" s="35">
        <f t="shared" si="17"/>
        <v>132</v>
      </c>
      <c r="AB123" s="556">
        <f>[1]!srIx2Val(AC$6,AA123,1)</f>
        <v>0.22500000000000001</v>
      </c>
      <c r="AC123" s="1001">
        <f>[1]!srIx2Val(AC$6,AA123,5)</f>
        <v>8200</v>
      </c>
      <c r="AD123" s="1001">
        <f t="shared" si="18"/>
        <v>-1227.3080530617717</v>
      </c>
      <c r="AE123" s="465">
        <f>IF(AD123&lt;=0,0,[1]!srRng2E(AC$6,AD123))</f>
        <v>0</v>
      </c>
      <c r="AF123" s="466" t="e">
        <f t="shared" si="19"/>
        <v>#N/A</v>
      </c>
      <c r="AG123" s="466">
        <f t="shared" si="20"/>
        <v>0.22500000000000001</v>
      </c>
      <c r="AH123" s="466" t="e">
        <f t="shared" si="21"/>
        <v>#N/A</v>
      </c>
      <c r="AI123" s="466">
        <f t="shared" si="22"/>
        <v>9</v>
      </c>
    </row>
    <row r="124" spans="17:35">
      <c r="Q124" s="35">
        <f t="shared" si="23"/>
        <v>133</v>
      </c>
      <c r="R124" s="556">
        <f>[1]!srIx2Val(S$6,Q124,1)</f>
        <v>0.22727272727272727</v>
      </c>
      <c r="S124" s="1001">
        <f>[1]!srIx2Val(S$6,Q124,5)</f>
        <v>12930</v>
      </c>
      <c r="T124" s="1001">
        <f t="shared" si="12"/>
        <v>51.361889071939004</v>
      </c>
      <c r="U124" s="465">
        <f>IF(T124&lt;=0,0,[1]!srRng2E(S$6,T124))</f>
        <v>3.5160434704708675E-4</v>
      </c>
      <c r="V124" s="482">
        <f t="shared" si="13"/>
        <v>0.22692112292568017</v>
      </c>
      <c r="W124" s="466" t="e">
        <f t="shared" si="14"/>
        <v>#N/A</v>
      </c>
      <c r="X124" s="466">
        <f t="shared" si="15"/>
        <v>29.953588226189783</v>
      </c>
      <c r="Y124" s="466" t="e">
        <f t="shared" si="16"/>
        <v>#N/A</v>
      </c>
      <c r="AA124" s="35">
        <f t="shared" si="17"/>
        <v>133</v>
      </c>
      <c r="AB124" s="556">
        <f>[1]!srIx2Val(AC$6,AA124,1)</f>
        <v>0.25</v>
      </c>
      <c r="AC124" s="1001">
        <f>[1]!srIx2Val(AC$6,AA124,5)</f>
        <v>8650</v>
      </c>
      <c r="AD124" s="1001">
        <f t="shared" si="18"/>
        <v>-777.30805306177172</v>
      </c>
      <c r="AE124" s="465">
        <f>IF(AD124&lt;=0,0,[1]!srRng2E(AC$6,AD124))</f>
        <v>0</v>
      </c>
      <c r="AF124" s="466" t="e">
        <f t="shared" si="19"/>
        <v>#N/A</v>
      </c>
      <c r="AG124" s="466">
        <f t="shared" si="20"/>
        <v>0.25</v>
      </c>
      <c r="AH124" s="466" t="e">
        <f t="shared" si="21"/>
        <v>#N/A</v>
      </c>
      <c r="AI124" s="466">
        <f t="shared" si="22"/>
        <v>10</v>
      </c>
    </row>
    <row r="125" spans="17:35">
      <c r="Q125" s="35">
        <f t="shared" si="23"/>
        <v>134</v>
      </c>
      <c r="R125" s="556">
        <f>[1]!srIx2Val(S$6,Q125,1)</f>
        <v>0.24621212121212122</v>
      </c>
      <c r="S125" s="1001">
        <f>[1]!srIx2Val(S$6,Q125,5)</f>
        <v>13460</v>
      </c>
      <c r="T125" s="1001">
        <f t="shared" si="12"/>
        <v>581.361889071939</v>
      </c>
      <c r="U125" s="465">
        <f>IF(T125&lt;=0,0,[1]!srRng2E(S$6,T125))</f>
        <v>6.5294960954292445E-3</v>
      </c>
      <c r="V125" s="482">
        <f t="shared" si="13"/>
        <v>0.23968262511669197</v>
      </c>
      <c r="W125" s="466" t="e">
        <f t="shared" si="14"/>
        <v>#N/A</v>
      </c>
      <c r="X125" s="466">
        <f t="shared" si="15"/>
        <v>31.63810651540334</v>
      </c>
      <c r="Y125" s="466" t="e">
        <f t="shared" si="16"/>
        <v>#N/A</v>
      </c>
      <c r="AA125" s="35">
        <f t="shared" si="17"/>
        <v>134</v>
      </c>
      <c r="AB125" s="556">
        <f>[1]!srIx2Val(AC$6,AA125,1)</f>
        <v>0.27500000000000002</v>
      </c>
      <c r="AC125" s="1001">
        <f>[1]!srIx2Val(AC$6,AA125,5)</f>
        <v>9070</v>
      </c>
      <c r="AD125" s="1001">
        <f t="shared" si="18"/>
        <v>-357.30805306177172</v>
      </c>
      <c r="AE125" s="465">
        <f>IF(AD125&lt;=0,0,[1]!srRng2E(AC$6,AD125))</f>
        <v>0</v>
      </c>
      <c r="AF125" s="466" t="e">
        <f t="shared" si="19"/>
        <v>#N/A</v>
      </c>
      <c r="AG125" s="466">
        <f t="shared" si="20"/>
        <v>0.27500000000000002</v>
      </c>
      <c r="AH125" s="466" t="e">
        <f t="shared" si="21"/>
        <v>#N/A</v>
      </c>
      <c r="AI125" s="466">
        <f t="shared" si="22"/>
        <v>11</v>
      </c>
    </row>
    <row r="126" spans="17:35">
      <c r="Q126" s="35">
        <f t="shared" si="23"/>
        <v>135</v>
      </c>
      <c r="R126" s="556">
        <f>[1]!srIx2Val(S$6,Q126,1)</f>
        <v>0.26515151515151514</v>
      </c>
      <c r="S126" s="1001">
        <f>[1]!srIx2Val(S$6,Q126,5)</f>
        <v>13970</v>
      </c>
      <c r="T126" s="1001">
        <f t="shared" si="12"/>
        <v>1091.361889071939</v>
      </c>
      <c r="U126" s="465">
        <f>IF(T126&lt;=0,0,[1]!srRng2E(S$6,T126))</f>
        <v>1.2135951180432241E-2</v>
      </c>
      <c r="V126" s="482">
        <f t="shared" si="13"/>
        <v>0.25301556397108288</v>
      </c>
      <c r="W126" s="466" t="e">
        <f t="shared" si="14"/>
        <v>#N/A</v>
      </c>
      <c r="X126" s="466">
        <f t="shared" si="15"/>
        <v>33.398054444182939</v>
      </c>
      <c r="Y126" s="466" t="e">
        <f t="shared" si="16"/>
        <v>#N/A</v>
      </c>
      <c r="AA126" s="35">
        <f t="shared" si="17"/>
        <v>135</v>
      </c>
      <c r="AB126" s="556">
        <f>[1]!srIx2Val(AC$6,AA126,1)</f>
        <v>0.3</v>
      </c>
      <c r="AC126" s="1001">
        <f>[1]!srIx2Val(AC$6,AA126,5)</f>
        <v>9470</v>
      </c>
      <c r="AD126" s="1001">
        <f t="shared" si="18"/>
        <v>42.691946938228284</v>
      </c>
      <c r="AE126" s="465">
        <f>IF(AD126&lt;=0,0,[1]!srRng2E(AC$6,AD126))</f>
        <v>5.1092240450441924E-4</v>
      </c>
      <c r="AF126" s="466">
        <f t="shared" si="19"/>
        <v>0.29948907759549559</v>
      </c>
      <c r="AG126" s="466" t="e">
        <f t="shared" si="20"/>
        <v>#N/A</v>
      </c>
      <c r="AH126" s="466">
        <f t="shared" si="21"/>
        <v>11.979563103819824</v>
      </c>
      <c r="AI126" s="466" t="e">
        <f t="shared" si="22"/>
        <v>#N/A</v>
      </c>
    </row>
    <row r="127" spans="17:35">
      <c r="Q127" s="35">
        <f t="shared" si="23"/>
        <v>136</v>
      </c>
      <c r="R127" s="556">
        <f>[1]!srIx2Val(S$6,Q127,1)</f>
        <v>0.28409090909090912</v>
      </c>
      <c r="S127" s="1001">
        <f>[1]!srIx2Val(S$6,Q127,5)</f>
        <v>14450</v>
      </c>
      <c r="T127" s="1001">
        <f t="shared" si="12"/>
        <v>1571.361889071939</v>
      </c>
      <c r="U127" s="465">
        <f>IF(T127&lt;=0,0,[1]!srRng2E(S$6,T127))</f>
        <v>1.7283443505703419E-2</v>
      </c>
      <c r="V127" s="482">
        <f t="shared" si="13"/>
        <v>0.26680746558520568</v>
      </c>
      <c r="W127" s="466" t="e">
        <f t="shared" si="14"/>
        <v>#N/A</v>
      </c>
      <c r="X127" s="466">
        <f t="shared" si="15"/>
        <v>35.218585457247151</v>
      </c>
      <c r="Y127" s="466" t="e">
        <f t="shared" si="16"/>
        <v>#N/A</v>
      </c>
      <c r="AA127" s="35">
        <f t="shared" si="17"/>
        <v>136</v>
      </c>
      <c r="AB127" s="556">
        <f>[1]!srIx2Val(AC$6,AA127,1)</f>
        <v>0.32500000000000001</v>
      </c>
      <c r="AC127" s="1001">
        <f>[1]!srIx2Val(AC$6,AA127,5)</f>
        <v>9850</v>
      </c>
      <c r="AD127" s="1001">
        <f t="shared" si="18"/>
        <v>422.69194693822828</v>
      </c>
      <c r="AE127" s="465">
        <f>IF(AD127&lt;=0,0,[1]!srRng2E(AC$6,AD127))</f>
        <v>5.7157664938919089E-3</v>
      </c>
      <c r="AF127" s="466">
        <f t="shared" si="19"/>
        <v>0.31928423350610813</v>
      </c>
      <c r="AG127" s="466" t="e">
        <f t="shared" si="20"/>
        <v>#N/A</v>
      </c>
      <c r="AH127" s="466">
        <f t="shared" si="21"/>
        <v>12.771369340244325</v>
      </c>
      <c r="AI127" s="466" t="e">
        <f t="shared" si="22"/>
        <v>#N/A</v>
      </c>
    </row>
    <row r="128" spans="17:35">
      <c r="Q128" s="35">
        <f t="shared" si="23"/>
        <v>137</v>
      </c>
      <c r="R128" s="556">
        <f>[1]!srIx2Val(S$6,Q128,1)</f>
        <v>0.30303030303030304</v>
      </c>
      <c r="S128" s="1001">
        <f>[1]!srIx2Val(S$6,Q128,5)</f>
        <v>14910</v>
      </c>
      <c r="T128" s="1001">
        <f t="shared" si="12"/>
        <v>2031.361889071939</v>
      </c>
      <c r="U128" s="465">
        <f>IF(T128&lt;=0,0,[1]!srRng2E(S$6,T128))</f>
        <v>2.2296812489660641E-2</v>
      </c>
      <c r="V128" s="482">
        <f t="shared" si="13"/>
        <v>0.28073349054064239</v>
      </c>
      <c r="W128" s="466" t="e">
        <f t="shared" si="14"/>
        <v>#N/A</v>
      </c>
      <c r="X128" s="466">
        <f t="shared" si="15"/>
        <v>37.056820751364796</v>
      </c>
      <c r="Y128" s="466" t="e">
        <f t="shared" si="16"/>
        <v>#N/A</v>
      </c>
      <c r="AA128" s="35">
        <f t="shared" si="17"/>
        <v>137</v>
      </c>
      <c r="AB128" s="556">
        <f>[1]!srIx2Val(AC$6,AA128,1)</f>
        <v>0.35</v>
      </c>
      <c r="AC128" s="1001">
        <f>[1]!srIx2Val(AC$6,AA128,5)</f>
        <v>10230</v>
      </c>
      <c r="AD128" s="1001">
        <f t="shared" si="18"/>
        <v>802.69194693822828</v>
      </c>
      <c r="AE128" s="465">
        <f>IF(AD128&lt;=0,0,[1]!srRng2E(AC$6,AD128))</f>
        <v>1.0803744490681087E-2</v>
      </c>
      <c r="AF128" s="466">
        <f t="shared" si="19"/>
        <v>0.33919625550931887</v>
      </c>
      <c r="AG128" s="466" t="e">
        <f t="shared" si="20"/>
        <v>#N/A</v>
      </c>
      <c r="AH128" s="466">
        <f t="shared" si="21"/>
        <v>13.567850220372755</v>
      </c>
      <c r="AI128" s="466" t="e">
        <f t="shared" si="22"/>
        <v>#N/A</v>
      </c>
    </row>
    <row r="129" spans="17:35">
      <c r="Q129" s="35">
        <f t="shared" si="23"/>
        <v>138</v>
      </c>
      <c r="R129" s="556">
        <f>[1]!srIx2Val(S$6,Q129,1)</f>
        <v>0.34090909090909088</v>
      </c>
      <c r="S129" s="1001">
        <f>[1]!srIx2Val(S$6,Q129,5)</f>
        <v>15790</v>
      </c>
      <c r="T129" s="1001">
        <f t="shared" si="12"/>
        <v>2911.361889071939</v>
      </c>
      <c r="U129" s="465">
        <f>IF(T129&lt;=0,0,[1]!srRng2E(S$6,T129))</f>
        <v>3.2155209929659541E-2</v>
      </c>
      <c r="V129" s="482">
        <f t="shared" si="13"/>
        <v>0.30875388097943135</v>
      </c>
      <c r="W129" s="466" t="e">
        <f t="shared" si="14"/>
        <v>#N/A</v>
      </c>
      <c r="X129" s="466">
        <f t="shared" si="15"/>
        <v>40.755512289284937</v>
      </c>
      <c r="Y129" s="466" t="e">
        <f t="shared" si="16"/>
        <v>#N/A</v>
      </c>
      <c r="AA129" s="35">
        <f t="shared" si="17"/>
        <v>138</v>
      </c>
      <c r="AB129" s="556">
        <f>[1]!srIx2Val(AC$6,AA129,1)</f>
        <v>0.375</v>
      </c>
      <c r="AC129" s="1001">
        <f>[1]!srIx2Val(AC$6,AA129,5)</f>
        <v>10590</v>
      </c>
      <c r="AD129" s="1001">
        <f t="shared" si="18"/>
        <v>1162.6919469382283</v>
      </c>
      <c r="AE129" s="465">
        <f>IF(AD129&lt;=0,0,[1]!srRng2E(AC$6,AD129))</f>
        <v>1.5870721485253172E-2</v>
      </c>
      <c r="AF129" s="466">
        <f t="shared" si="19"/>
        <v>0.35912927851474685</v>
      </c>
      <c r="AG129" s="466" t="e">
        <f t="shared" si="20"/>
        <v>#N/A</v>
      </c>
      <c r="AH129" s="466">
        <f t="shared" si="21"/>
        <v>14.365171140589874</v>
      </c>
      <c r="AI129" s="466" t="e">
        <f t="shared" si="22"/>
        <v>#N/A</v>
      </c>
    </row>
    <row r="130" spans="17:35">
      <c r="Q130" s="35">
        <f t="shared" si="23"/>
        <v>139</v>
      </c>
      <c r="R130" s="556">
        <f>[1]!srIx2Val(S$6,Q130,1)</f>
        <v>0.37878787878787878</v>
      </c>
      <c r="S130" s="1001">
        <f>[1]!srIx2Val(S$6,Q130,5)</f>
        <v>16610</v>
      </c>
      <c r="T130" s="1001">
        <f t="shared" si="12"/>
        <v>3731.361889071939</v>
      </c>
      <c r="U130" s="465">
        <f>IF(T130&lt;=0,0,[1]!srRng2E(S$6,T130))</f>
        <v>4.1682787512688668E-2</v>
      </c>
      <c r="V130" s="482">
        <f t="shared" si="13"/>
        <v>0.33710509127519012</v>
      </c>
      <c r="W130" s="466" t="e">
        <f t="shared" si="14"/>
        <v>#N/A</v>
      </c>
      <c r="X130" s="466">
        <f t="shared" si="15"/>
        <v>44.497872048325092</v>
      </c>
      <c r="Y130" s="466" t="e">
        <f t="shared" si="16"/>
        <v>#N/A</v>
      </c>
      <c r="AA130" s="35">
        <f t="shared" si="17"/>
        <v>139</v>
      </c>
      <c r="AB130" s="556">
        <f>[1]!srIx2Val(AC$6,AA130,1)</f>
        <v>0.4</v>
      </c>
      <c r="AC130" s="1001">
        <f>[1]!srIx2Val(AC$6,AA130,5)</f>
        <v>10950</v>
      </c>
      <c r="AD130" s="1001">
        <f t="shared" si="18"/>
        <v>1522.6919469382283</v>
      </c>
      <c r="AE130" s="465">
        <f>IF(AD130&lt;=0,0,[1]!srRng2E(AC$6,AD130))</f>
        <v>2.1292061670909818E-2</v>
      </c>
      <c r="AF130" s="466">
        <f t="shared" si="19"/>
        <v>0.37870793832909022</v>
      </c>
      <c r="AG130" s="466" t="e">
        <f t="shared" si="20"/>
        <v>#N/A</v>
      </c>
      <c r="AH130" s="466">
        <f t="shared" si="21"/>
        <v>15.14831753316361</v>
      </c>
      <c r="AI130" s="466" t="e">
        <f t="shared" si="22"/>
        <v>#N/A</v>
      </c>
    </row>
    <row r="131" spans="17:35">
      <c r="Q131" s="35">
        <f t="shared" si="23"/>
        <v>140</v>
      </c>
      <c r="R131" s="556">
        <f>[1]!srIx2Val(S$6,Q131,1)</f>
        <v>0.41666666666666669</v>
      </c>
      <c r="S131" s="1001">
        <f>[1]!srIx2Val(S$6,Q131,5)</f>
        <v>17390</v>
      </c>
      <c r="T131" s="1001">
        <f t="shared" si="12"/>
        <v>4511.361889071939</v>
      </c>
      <c r="U131" s="465">
        <f>IF(T131&lt;=0,0,[1]!srRng2E(S$6,T131))</f>
        <v>5.1153559205453773E-2</v>
      </c>
      <c r="V131" s="482">
        <f t="shared" si="13"/>
        <v>0.3655131074612129</v>
      </c>
      <c r="W131" s="466" t="e">
        <f t="shared" si="14"/>
        <v>#N/A</v>
      </c>
      <c r="X131" s="466">
        <f t="shared" si="15"/>
        <v>48.247730184880105</v>
      </c>
      <c r="Y131" s="466" t="e">
        <f t="shared" si="16"/>
        <v>#N/A</v>
      </c>
      <c r="AA131" s="35">
        <f t="shared" si="17"/>
        <v>140</v>
      </c>
      <c r="AB131" s="556">
        <f>[1]!srIx2Val(AC$6,AA131,1)</f>
        <v>0.42499999999999999</v>
      </c>
      <c r="AC131" s="1001">
        <f>[1]!srIx2Val(AC$6,AA131,5)</f>
        <v>11300</v>
      </c>
      <c r="AD131" s="1001">
        <f t="shared" si="18"/>
        <v>1872.6919469382283</v>
      </c>
      <c r="AE131" s="465">
        <f>IF(AD131&lt;=0,0,[1]!srRng2E(AC$6,AD131))</f>
        <v>2.691706167090982E-2</v>
      </c>
      <c r="AF131" s="466">
        <f t="shared" si="19"/>
        <v>0.39808293832909014</v>
      </c>
      <c r="AG131" s="466" t="e">
        <f t="shared" si="20"/>
        <v>#N/A</v>
      </c>
      <c r="AH131" s="466">
        <f t="shared" si="21"/>
        <v>15.923317533163605</v>
      </c>
      <c r="AI131" s="466" t="e">
        <f t="shared" si="22"/>
        <v>#N/A</v>
      </c>
    </row>
    <row r="132" spans="17:35">
      <c r="Q132" s="35">
        <f t="shared" si="23"/>
        <v>141</v>
      </c>
      <c r="R132" s="556">
        <f>[1]!srIx2Val(S$6,Q132,1)</f>
        <v>0.45454545454545453</v>
      </c>
      <c r="S132" s="1001">
        <f>[1]!srIx2Val(S$6,Q132,5)</f>
        <v>18140</v>
      </c>
      <c r="T132" s="1001">
        <f t="shared" si="12"/>
        <v>5261.361889071939</v>
      </c>
      <c r="U132" s="465">
        <f>IF(T132&lt;=0,0,[1]!srRng2E(S$6,T132))</f>
        <v>6.0762560455536352E-2</v>
      </c>
      <c r="V132" s="482">
        <f t="shared" si="13"/>
        <v>0.39378289408991818</v>
      </c>
      <c r="W132" s="466" t="e">
        <f t="shared" si="14"/>
        <v>#N/A</v>
      </c>
      <c r="X132" s="466">
        <f t="shared" si="15"/>
        <v>51.9793420198692</v>
      </c>
      <c r="Y132" s="466" t="e">
        <f t="shared" si="16"/>
        <v>#N/A</v>
      </c>
      <c r="AA132" s="35">
        <f t="shared" si="17"/>
        <v>141</v>
      </c>
      <c r="AB132" s="556">
        <f>[1]!srIx2Val(AC$6,AA132,1)</f>
        <v>0.45</v>
      </c>
      <c r="AC132" s="1001">
        <f>[1]!srIx2Val(AC$6,AA132,5)</f>
        <v>11650</v>
      </c>
      <c r="AD132" s="1001">
        <f t="shared" si="18"/>
        <v>2222.6919469382283</v>
      </c>
      <c r="AE132" s="465">
        <f>IF(AD132&lt;=0,0,[1]!srRng2E(AC$6,AD132))</f>
        <v>3.2905213338182651E-2</v>
      </c>
      <c r="AF132" s="466">
        <f t="shared" si="19"/>
        <v>0.41709478666181737</v>
      </c>
      <c r="AG132" s="466" t="e">
        <f t="shared" si="20"/>
        <v>#N/A</v>
      </c>
      <c r="AH132" s="466">
        <f t="shared" si="21"/>
        <v>16.683791466472695</v>
      </c>
      <c r="AI132" s="466" t="e">
        <f t="shared" si="22"/>
        <v>#N/A</v>
      </c>
    </row>
    <row r="133" spans="17:35">
      <c r="Q133" s="35">
        <f t="shared" si="23"/>
        <v>142</v>
      </c>
      <c r="R133" s="556">
        <f>[1]!srIx2Val(S$6,Q133,1)</f>
        <v>0.49242424242424243</v>
      </c>
      <c r="S133" s="1001">
        <f>[1]!srIx2Val(S$6,Q133,5)</f>
        <v>18860</v>
      </c>
      <c r="T133" s="1001">
        <f t="shared" si="12"/>
        <v>5981.361889071939</v>
      </c>
      <c r="U133" s="465">
        <f>IF(T133&lt;=0,0,[1]!srRng2E(S$6,T133))</f>
        <v>7.077418366312091E-2</v>
      </c>
      <c r="V133" s="482">
        <f t="shared" si="13"/>
        <v>0.42165005876112149</v>
      </c>
      <c r="W133" s="466" t="e">
        <f t="shared" si="14"/>
        <v>#N/A</v>
      </c>
      <c r="X133" s="466">
        <f t="shared" si="15"/>
        <v>55.657807756468038</v>
      </c>
      <c r="Y133" s="466" t="e">
        <f t="shared" si="16"/>
        <v>#N/A</v>
      </c>
      <c r="AA133" s="35">
        <f t="shared" si="17"/>
        <v>142</v>
      </c>
      <c r="AB133" s="556">
        <f>[1]!srIx2Val(AC$6,AA133,1)</f>
        <v>0.5</v>
      </c>
      <c r="AC133" s="1001">
        <f>[1]!srIx2Val(AC$6,AA133,5)</f>
        <v>12330</v>
      </c>
      <c r="AD133" s="1001">
        <f t="shared" si="18"/>
        <v>2902.6919469382283</v>
      </c>
      <c r="AE133" s="465">
        <f>IF(AD133&lt;=0,0,[1]!srRng2E(AC$6,AD133))</f>
        <v>4.5436383594965928E-2</v>
      </c>
      <c r="AF133" s="466">
        <f t="shared" si="19"/>
        <v>0.45456361640503407</v>
      </c>
      <c r="AG133" s="466" t="e">
        <f t="shared" si="20"/>
        <v>#N/A</v>
      </c>
      <c r="AH133" s="466">
        <f t="shared" si="21"/>
        <v>18.182544656201362</v>
      </c>
      <c r="AI133" s="466" t="e">
        <f t="shared" si="22"/>
        <v>#N/A</v>
      </c>
    </row>
    <row r="134" spans="17:35">
      <c r="Q134" s="35">
        <f t="shared" si="23"/>
        <v>143</v>
      </c>
      <c r="R134" s="556">
        <f>[1]!srIx2Val(S$6,Q134,1)</f>
        <v>0.53030303030303028</v>
      </c>
      <c r="S134" s="1001">
        <f>[1]!srIx2Val(S$6,Q134,5)</f>
        <v>19560</v>
      </c>
      <c r="T134" s="1001">
        <f t="shared" si="12"/>
        <v>6681.361889071939</v>
      </c>
      <c r="U134" s="465">
        <f>IF(T134&lt;=0,0,[1]!srRng2E(S$6,T134))</f>
        <v>8.1081240743514221E-2</v>
      </c>
      <c r="V134" s="482">
        <f t="shared" si="13"/>
        <v>0.44922178955951608</v>
      </c>
      <c r="W134" s="466" t="e">
        <f t="shared" si="14"/>
        <v>#N/A</v>
      </c>
      <c r="X134" s="466">
        <f t="shared" si="15"/>
        <v>59.297276221856123</v>
      </c>
      <c r="Y134" s="466" t="e">
        <f t="shared" si="16"/>
        <v>#N/A</v>
      </c>
      <c r="AA134" s="35">
        <f t="shared" si="17"/>
        <v>143</v>
      </c>
      <c r="AB134" s="556">
        <f>[1]!srIx2Val(AC$6,AA134,1)</f>
        <v>0.5625</v>
      </c>
      <c r="AC134" s="1001">
        <f>[1]!srIx2Val(AC$6,AA134,5)</f>
        <v>13170</v>
      </c>
      <c r="AD134" s="1001">
        <f t="shared" si="18"/>
        <v>3742.6919469382283</v>
      </c>
      <c r="AE134" s="465">
        <f>IF(AD134&lt;=0,0,[1]!srRng2E(AC$6,AD134))</f>
        <v>6.2793795068014538E-2</v>
      </c>
      <c r="AF134" s="466">
        <f t="shared" si="19"/>
        <v>0.49970620493198548</v>
      </c>
      <c r="AG134" s="466" t="e">
        <f t="shared" si="20"/>
        <v>#N/A</v>
      </c>
      <c r="AH134" s="466">
        <f t="shared" si="21"/>
        <v>19.988248197279418</v>
      </c>
      <c r="AI134" s="466" t="e">
        <f t="shared" si="22"/>
        <v>#N/A</v>
      </c>
    </row>
    <row r="135" spans="17:35">
      <c r="Q135" s="35">
        <f t="shared" si="23"/>
        <v>144</v>
      </c>
      <c r="R135" s="556">
        <f>[1]!srIx2Val(S$6,Q135,1)</f>
        <v>0.60606060606060608</v>
      </c>
      <c r="S135" s="1001">
        <f>[1]!srIx2Val(S$6,Q135,5)</f>
        <v>20920</v>
      </c>
      <c r="T135" s="1001">
        <f t="shared" si="12"/>
        <v>8041.361889071939</v>
      </c>
      <c r="U135" s="465">
        <f>IF(T135&lt;=0,0,[1]!srRng2E(S$6,T135))</f>
        <v>0.10355991863405374</v>
      </c>
      <c r="V135" s="482">
        <f t="shared" si="13"/>
        <v>0.50250068742655229</v>
      </c>
      <c r="W135" s="466" t="e">
        <f t="shared" si="14"/>
        <v>#N/A</v>
      </c>
      <c r="X135" s="466">
        <f t="shared" si="15"/>
        <v>66.330090740304897</v>
      </c>
      <c r="Y135" s="466" t="e">
        <f t="shared" si="16"/>
        <v>#N/A</v>
      </c>
      <c r="AA135" s="35">
        <f t="shared" si="17"/>
        <v>144</v>
      </c>
      <c r="AB135" s="556">
        <f>[1]!srIx2Val(AC$6,AA135,1)</f>
        <v>0.625</v>
      </c>
      <c r="AC135" s="1001">
        <f>[1]!srIx2Val(AC$6,AA135,5)</f>
        <v>14000</v>
      </c>
      <c r="AD135" s="1001">
        <f t="shared" si="18"/>
        <v>4572.6919469382283</v>
      </c>
      <c r="AE135" s="465">
        <f>IF(AD135&lt;=0,0,[1]!srRng2E(AC$6,AD135))</f>
        <v>8.2882602784849699E-2</v>
      </c>
      <c r="AF135" s="466">
        <f t="shared" si="19"/>
        <v>0.54211739721515029</v>
      </c>
      <c r="AG135" s="466" t="e">
        <f t="shared" si="20"/>
        <v>#N/A</v>
      </c>
      <c r="AH135" s="466">
        <f t="shared" si="21"/>
        <v>21.684695888606011</v>
      </c>
      <c r="AI135" s="466" t="e">
        <f t="shared" si="22"/>
        <v>#N/A</v>
      </c>
    </row>
    <row r="136" spans="17:35">
      <c r="Q136" s="35">
        <f t="shared" si="23"/>
        <v>145</v>
      </c>
      <c r="R136" s="556">
        <f>[1]!srIx2Val(S$6,Q136,1)</f>
        <v>0.68181818181818177</v>
      </c>
      <c r="S136" s="1001">
        <f>[1]!srIx2Val(S$6,Q136,5)</f>
        <v>22220</v>
      </c>
      <c r="T136" s="1001">
        <f t="shared" si="12"/>
        <v>9341.361889071939</v>
      </c>
      <c r="U136" s="465">
        <f>IF(T136&lt;=0,0,[1]!srRng2E(S$6,T136))</f>
        <v>0.12881822390980255</v>
      </c>
      <c r="V136" s="482">
        <f t="shared" si="13"/>
        <v>0.55299995790837919</v>
      </c>
      <c r="W136" s="466" t="e">
        <f t="shared" si="14"/>
        <v>#N/A</v>
      </c>
      <c r="X136" s="466">
        <f t="shared" si="15"/>
        <v>72.995994443906056</v>
      </c>
      <c r="Y136" s="466" t="e">
        <f t="shared" si="16"/>
        <v>#N/A</v>
      </c>
      <c r="AA136" s="35">
        <f t="shared" si="17"/>
        <v>145</v>
      </c>
      <c r="AB136" s="556">
        <f>[1]!srIx2Val(AC$6,AA136,1)</f>
        <v>0.6875</v>
      </c>
      <c r="AC136" s="1001">
        <f>[1]!srIx2Val(AC$6,AA136,5)</f>
        <v>14830</v>
      </c>
      <c r="AD136" s="1001">
        <f t="shared" si="18"/>
        <v>5402.6919469382283</v>
      </c>
      <c r="AE136" s="465">
        <f>IF(AD136&lt;=0,0,[1]!srRng2E(AC$6,AD136))</f>
        <v>0.10664662334181964</v>
      </c>
      <c r="AF136" s="466">
        <f t="shared" si="19"/>
        <v>0.58085337665818038</v>
      </c>
      <c r="AG136" s="466" t="e">
        <f t="shared" si="20"/>
        <v>#N/A</v>
      </c>
      <c r="AH136" s="466">
        <f t="shared" si="21"/>
        <v>23.234135066327216</v>
      </c>
      <c r="AI136" s="466" t="e">
        <f t="shared" si="22"/>
        <v>#N/A</v>
      </c>
    </row>
    <row r="137" spans="17:35">
      <c r="Q137" s="35">
        <f t="shared" si="23"/>
        <v>146</v>
      </c>
      <c r="R137" s="556">
        <f>[1]!srIx2Val(S$6,Q137,1)</f>
        <v>0.75757575757575757</v>
      </c>
      <c r="S137" s="1001">
        <f>[1]!srIx2Val(S$6,Q137,5)</f>
        <v>23470</v>
      </c>
      <c r="T137" s="1001">
        <f t="shared" si="12"/>
        <v>10591.361889071939</v>
      </c>
      <c r="U137" s="465">
        <f>IF(T137&lt;=0,0,[1]!srRng2E(S$6,T137))</f>
        <v>0.158204389052824</v>
      </c>
      <c r="V137" s="482">
        <f t="shared" si="13"/>
        <v>0.5993713685229336</v>
      </c>
      <c r="W137" s="466" t="e">
        <f t="shared" si="14"/>
        <v>#N/A</v>
      </c>
      <c r="X137" s="466">
        <f t="shared" si="15"/>
        <v>79.117020645027239</v>
      </c>
      <c r="Y137" s="466" t="e">
        <f t="shared" si="16"/>
        <v>#N/A</v>
      </c>
      <c r="AA137" s="35">
        <f t="shared" si="17"/>
        <v>146</v>
      </c>
      <c r="AB137" s="556">
        <f>[1]!srIx2Val(AC$6,AA137,1)</f>
        <v>0.75</v>
      </c>
      <c r="AC137" s="1001">
        <f>[1]!srIx2Val(AC$6,AA137,5)</f>
        <v>15660</v>
      </c>
      <c r="AD137" s="1001">
        <f t="shared" si="18"/>
        <v>6232.6919469382283</v>
      </c>
      <c r="AE137" s="465">
        <f>IF(AD137&lt;=0,0,[1]!srRng2E(AC$6,AD137))</f>
        <v>0.13473899810493672</v>
      </c>
      <c r="AF137" s="466">
        <f t="shared" si="19"/>
        <v>0.61526100189506328</v>
      </c>
      <c r="AG137" s="466" t="e">
        <f t="shared" si="20"/>
        <v>#N/A</v>
      </c>
      <c r="AH137" s="466">
        <f t="shared" si="21"/>
        <v>24.610440075802529</v>
      </c>
      <c r="AI137" s="466" t="e">
        <f t="shared" si="22"/>
        <v>#N/A</v>
      </c>
    </row>
    <row r="138" spans="17:35">
      <c r="Q138" s="35">
        <f t="shared" si="23"/>
        <v>147</v>
      </c>
      <c r="R138" s="556">
        <f>[1]!srIx2Val(S$6,Q138,1)</f>
        <v>0.83333333333333337</v>
      </c>
      <c r="S138" s="1001">
        <f>[1]!srIx2Val(S$6,Q138,5)</f>
        <v>24700</v>
      </c>
      <c r="T138" s="1001">
        <f t="shared" si="12"/>
        <v>11821.361889071939</v>
      </c>
      <c r="U138" s="465">
        <f>IF(T138&lt;=0,0,[1]!srRng2E(S$6,T138))</f>
        <v>0.19192007852309795</v>
      </c>
      <c r="V138" s="482">
        <f t="shared" si="13"/>
        <v>0.64141325481023537</v>
      </c>
      <c r="W138" s="466" t="e">
        <f t="shared" si="14"/>
        <v>#N/A</v>
      </c>
      <c r="X138" s="466">
        <f t="shared" si="15"/>
        <v>84.666549634951068</v>
      </c>
      <c r="Y138" s="466" t="e">
        <f t="shared" si="16"/>
        <v>#N/A</v>
      </c>
      <c r="AA138" s="35">
        <f t="shared" si="17"/>
        <v>147</v>
      </c>
      <c r="AB138" s="556">
        <f>[1]!srIx2Val(AC$6,AA138,1)</f>
        <v>0.8125</v>
      </c>
      <c r="AC138" s="1001">
        <f>[1]!srIx2Val(AC$6,AA138,5)</f>
        <v>16480</v>
      </c>
      <c r="AD138" s="1001">
        <f t="shared" si="18"/>
        <v>7052.6919469382283</v>
      </c>
      <c r="AE138" s="465">
        <f>IF(AD138&lt;=0,0,[1]!srRng2E(AC$6,AD138))</f>
        <v>0.16842374763117091</v>
      </c>
      <c r="AF138" s="466">
        <f t="shared" si="19"/>
        <v>0.64407625236882904</v>
      </c>
      <c r="AG138" s="466" t="e">
        <f t="shared" si="20"/>
        <v>#N/A</v>
      </c>
      <c r="AH138" s="466">
        <f t="shared" si="21"/>
        <v>25.763050094753162</v>
      </c>
      <c r="AI138" s="466" t="e">
        <f t="shared" si="22"/>
        <v>#N/A</v>
      </c>
    </row>
    <row r="139" spans="17:35">
      <c r="Q139" s="35">
        <f t="shared" si="23"/>
        <v>148</v>
      </c>
      <c r="R139" s="556">
        <f>[1]!srIx2Val(S$6,Q139,1)</f>
        <v>0.90909090909090906</v>
      </c>
      <c r="S139" s="1001">
        <f>[1]!srIx2Val(S$6,Q139,5)</f>
        <v>25900</v>
      </c>
      <c r="T139" s="1001">
        <f t="shared" ref="T139:T202" si="24">S139-T$10</f>
        <v>13021.361889071939</v>
      </c>
      <c r="U139" s="465">
        <f>IF(T139&lt;=0,0,[1]!srRng2E(S$6,T139))</f>
        <v>0.23053751747684173</v>
      </c>
      <c r="V139" s="482">
        <f t="shared" si="13"/>
        <v>0.67855339161406736</v>
      </c>
      <c r="W139" s="466" t="e">
        <f t="shared" si="14"/>
        <v>#N/A</v>
      </c>
      <c r="X139" s="466">
        <f t="shared" si="15"/>
        <v>89.569047693056888</v>
      </c>
      <c r="Y139" s="466" t="e">
        <f t="shared" si="16"/>
        <v>#N/A</v>
      </c>
      <c r="AA139" s="35">
        <f t="shared" si="17"/>
        <v>148</v>
      </c>
      <c r="AB139" s="556">
        <f>[1]!srIx2Val(AC$6,AA139,1)</f>
        <v>0.875</v>
      </c>
      <c r="AC139" s="1001">
        <f>[1]!srIx2Val(AC$6,AA139,5)</f>
        <v>17310</v>
      </c>
      <c r="AD139" s="1001">
        <f t="shared" si="18"/>
        <v>7882.6919469382283</v>
      </c>
      <c r="AE139" s="465">
        <f>IF(AD139&lt;=0,0,[1]!srRng2E(AC$6,AD139))</f>
        <v>0.20812191207118236</v>
      </c>
      <c r="AF139" s="466">
        <f t="shared" si="19"/>
        <v>0.66687808792881764</v>
      </c>
      <c r="AG139" s="466" t="e">
        <f t="shared" si="20"/>
        <v>#N/A</v>
      </c>
      <c r="AH139" s="466">
        <f t="shared" si="21"/>
        <v>26.675123517152706</v>
      </c>
      <c r="AI139" s="466" t="e">
        <f t="shared" si="22"/>
        <v>#N/A</v>
      </c>
    </row>
    <row r="140" spans="17:35">
      <c r="Q140" s="35">
        <f t="shared" si="23"/>
        <v>149</v>
      </c>
      <c r="R140" s="556">
        <f>[1]!srIx2Val(S$6,Q140,1)</f>
        <v>0.98484848484848486</v>
      </c>
      <c r="S140" s="1001">
        <f>[1]!srIx2Val(S$6,Q140,5)</f>
        <v>27080</v>
      </c>
      <c r="T140" s="1001">
        <f t="shared" si="24"/>
        <v>14201.361889071939</v>
      </c>
      <c r="U140" s="465">
        <f>IF(T140&lt;=0,0,[1]!srRng2E(S$6,T140))</f>
        <v>0.27428037756754808</v>
      </c>
      <c r="V140" s="482">
        <f t="shared" ref="V140:V203" si="25">IF((T140&lt;=0),NA(),R140-U140)</f>
        <v>0.71056810728093678</v>
      </c>
      <c r="W140" s="466" t="e">
        <f t="shared" ref="W140:W203" si="26">IF((T140&lt;=0),R140-U140,NA())</f>
        <v>#N/A</v>
      </c>
      <c r="X140" s="466">
        <f t="shared" ref="X140:X203" si="27">IF((T140&lt;0),NA(),V140*X$6)</f>
        <v>93.79499016108366</v>
      </c>
      <c r="Y140" s="466" t="e">
        <f t="shared" ref="Y140:Y203" si="28">IF((T140&lt;0),W140*X$6,NA())</f>
        <v>#N/A</v>
      </c>
      <c r="AA140" s="35">
        <f t="shared" ref="AA140:AA203" si="29">AA139+1</f>
        <v>149</v>
      </c>
      <c r="AB140" s="556">
        <f>[1]!srIx2Val(AC$6,AA140,1)</f>
        <v>0.9375</v>
      </c>
      <c r="AC140" s="1001">
        <f>[1]!srIx2Val(AC$6,AA140,5)</f>
        <v>18150</v>
      </c>
      <c r="AD140" s="1001">
        <f t="shared" ref="AD140:AD203" si="30">AC140-AD$10</f>
        <v>8722.6919469382283</v>
      </c>
      <c r="AE140" s="465">
        <f>IF(AD140&lt;=0,0,[1]!srRng2E(AC$6,AD140))</f>
        <v>0.25432690160346599</v>
      </c>
      <c r="AF140" s="466">
        <f t="shared" ref="AF140:AF203" si="31">IF((AD140&lt;=0),NA(),AB140-AE140)</f>
        <v>0.68317309839653406</v>
      </c>
      <c r="AG140" s="466" t="e">
        <f t="shared" ref="AG140:AG203" si="32">IF((AD140&lt;=0),AB140-AE140,NA())</f>
        <v>#N/A</v>
      </c>
      <c r="AH140" s="466">
        <f t="shared" ref="AH140:AH203" si="33">IF((AD140&lt;0),NA(),AF140*AH$6)</f>
        <v>27.326923935861362</v>
      </c>
      <c r="AI140" s="466" t="e">
        <f t="shared" ref="AI140:AI203" si="34">IF((AD140&lt;0),AG140*AH$6,NA())</f>
        <v>#N/A</v>
      </c>
    </row>
    <row r="141" spans="17:35">
      <c r="Q141" s="35">
        <f t="shared" ref="Q141:Q204" si="35">Q140+1</f>
        <v>150</v>
      </c>
      <c r="R141" s="466">
        <f>[1]!srIx2Val(S$6,Q141,1)</f>
        <v>1.0606060606060606</v>
      </c>
      <c r="S141" s="1001">
        <f>[1]!srIx2Val(S$6,Q141,5)</f>
        <v>28240</v>
      </c>
      <c r="T141" s="1001">
        <f t="shared" si="24"/>
        <v>15361.361889071939</v>
      </c>
      <c r="U141" s="465">
        <f>IF(T141&lt;=0,0,[1]!srRng2E(S$6,T141))</f>
        <v>0.32245875899930865</v>
      </c>
      <c r="V141" s="482">
        <f t="shared" si="25"/>
        <v>0.7381473016067519</v>
      </c>
      <c r="W141" s="466" t="e">
        <f t="shared" si="26"/>
        <v>#N/A</v>
      </c>
      <c r="X141" s="466">
        <f t="shared" si="27"/>
        <v>97.43544381209125</v>
      </c>
      <c r="Y141" s="466" t="e">
        <f t="shared" si="28"/>
        <v>#N/A</v>
      </c>
      <c r="AA141" s="35">
        <f t="shared" si="29"/>
        <v>150</v>
      </c>
      <c r="AB141" s="466">
        <f>[1]!srIx2Val(AC$6,AA141,1)</f>
        <v>1</v>
      </c>
      <c r="AC141" s="1001">
        <f>[1]!srIx2Val(AC$6,AA141,5)</f>
        <v>18990</v>
      </c>
      <c r="AD141" s="1001">
        <f t="shared" si="30"/>
        <v>9562.6919469382283</v>
      </c>
      <c r="AE141" s="465">
        <f>IF(AD141&lt;=0,0,[1]!srRng2E(AC$6,AD141))</f>
        <v>0.30609815440383081</v>
      </c>
      <c r="AF141" s="466">
        <f t="shared" si="31"/>
        <v>0.69390184559616919</v>
      </c>
      <c r="AG141" s="466" t="e">
        <f t="shared" si="32"/>
        <v>#N/A</v>
      </c>
      <c r="AH141" s="466">
        <f t="shared" si="33"/>
        <v>27.756073823846769</v>
      </c>
      <c r="AI141" s="466" t="e">
        <f t="shared" si="34"/>
        <v>#N/A</v>
      </c>
    </row>
    <row r="142" spans="17:35">
      <c r="Q142" s="35">
        <f t="shared" si="35"/>
        <v>151</v>
      </c>
      <c r="R142" s="466">
        <f>[1]!srIx2Val(S$6,Q142,1)</f>
        <v>1.1363636363636365</v>
      </c>
      <c r="S142" s="1001">
        <f>[1]!srIx2Val(S$6,Q142,5)</f>
        <v>29390</v>
      </c>
      <c r="T142" s="1001">
        <f t="shared" si="24"/>
        <v>16511.361889071937</v>
      </c>
      <c r="U142" s="465">
        <f>IF(T142&lt;=0,0,[1]!srRng2E(S$6,T142))</f>
        <v>0.37423142503103923</v>
      </c>
      <c r="V142" s="482">
        <f t="shared" si="25"/>
        <v>0.76213221133259723</v>
      </c>
      <c r="W142" s="466" t="e">
        <f t="shared" si="26"/>
        <v>#N/A</v>
      </c>
      <c r="X142" s="466">
        <f t="shared" si="27"/>
        <v>100.60145189590284</v>
      </c>
      <c r="Y142" s="466" t="e">
        <f t="shared" si="28"/>
        <v>#N/A</v>
      </c>
      <c r="AA142" s="35">
        <f t="shared" si="29"/>
        <v>151</v>
      </c>
      <c r="AB142" s="466">
        <f>[1]!srIx2Val(AC$6,AA142,1)</f>
        <v>1.125</v>
      </c>
      <c r="AC142" s="1001">
        <f>[1]!srIx2Val(AC$6,AA142,5)</f>
        <v>20690</v>
      </c>
      <c r="AD142" s="1001">
        <f t="shared" si="30"/>
        <v>11262.691946938228</v>
      </c>
      <c r="AE142" s="465">
        <f>IF(AD142&lt;=0,0,[1]!srRng2E(AC$6,AD142))</f>
        <v>0.42233513906701631</v>
      </c>
      <c r="AF142" s="466">
        <f t="shared" si="31"/>
        <v>0.70266486093298375</v>
      </c>
      <c r="AG142" s="466" t="e">
        <f t="shared" si="32"/>
        <v>#N/A</v>
      </c>
      <c r="AH142" s="466">
        <f t="shared" si="33"/>
        <v>28.106594437319352</v>
      </c>
      <c r="AI142" s="466" t="e">
        <f t="shared" si="34"/>
        <v>#N/A</v>
      </c>
    </row>
    <row r="143" spans="17:35">
      <c r="Q143" s="35">
        <f t="shared" si="35"/>
        <v>152</v>
      </c>
      <c r="R143" s="466">
        <f>[1]!srIx2Val(S$6,Q143,1)</f>
        <v>1.2121212121212122</v>
      </c>
      <c r="S143" s="1001">
        <f>[1]!srIx2Val(S$6,Q143,5)</f>
        <v>30530</v>
      </c>
      <c r="T143" s="1001">
        <f t="shared" si="24"/>
        <v>17651.361889071937</v>
      </c>
      <c r="U143" s="465">
        <f>IF(T143&lt;=0,0,[1]!srRng2E(S$6,T143))</f>
        <v>0.42986676207434027</v>
      </c>
      <c r="V143" s="482">
        <f t="shared" si="25"/>
        <v>0.78225445004687189</v>
      </c>
      <c r="W143" s="466" t="e">
        <f t="shared" si="26"/>
        <v>#N/A</v>
      </c>
      <c r="X143" s="466">
        <f t="shared" si="27"/>
        <v>103.25758740618708</v>
      </c>
      <c r="Y143" s="466" t="e">
        <f t="shared" si="28"/>
        <v>#N/A</v>
      </c>
      <c r="AA143" s="35">
        <f t="shared" si="29"/>
        <v>152</v>
      </c>
      <c r="AB143" s="466">
        <f>[1]!srIx2Val(AC$6,AA143,1)</f>
        <v>1.25</v>
      </c>
      <c r="AC143" s="1001">
        <f>[1]!srIx2Val(AC$6,AA143,5)</f>
        <v>22420</v>
      </c>
      <c r="AD143" s="1001">
        <f t="shared" si="30"/>
        <v>12992.691946938228</v>
      </c>
      <c r="AE143" s="465">
        <f>IF(AD143&lt;=0,0,[1]!srRng2E(AC$6,AD143))</f>
        <v>0.54930743652814196</v>
      </c>
      <c r="AF143" s="466">
        <f t="shared" si="31"/>
        <v>0.70069256347185804</v>
      </c>
      <c r="AG143" s="466" t="e">
        <f t="shared" si="32"/>
        <v>#N/A</v>
      </c>
      <c r="AH143" s="466">
        <f t="shared" si="33"/>
        <v>28.027702538874323</v>
      </c>
      <c r="AI143" s="466" t="e">
        <f t="shared" si="34"/>
        <v>#N/A</v>
      </c>
    </row>
    <row r="144" spans="17:35">
      <c r="Q144" s="35">
        <f t="shared" si="35"/>
        <v>153</v>
      </c>
      <c r="R144" s="466">
        <f>[1]!srIx2Val(S$6,Q144,1)</f>
        <v>1.2878787878787878</v>
      </c>
      <c r="S144" s="1001">
        <f>[1]!srIx2Val(S$6,Q144,5)</f>
        <v>31660</v>
      </c>
      <c r="T144" s="1001">
        <f t="shared" si="24"/>
        <v>18781.361889071937</v>
      </c>
      <c r="U144" s="465">
        <f>IF(T144&lt;=0,0,[1]!srRng2E(S$6,T144))</f>
        <v>0.48828713642003035</v>
      </c>
      <c r="V144" s="482">
        <f t="shared" si="25"/>
        <v>0.79959165145875755</v>
      </c>
      <c r="W144" s="466" t="e">
        <f t="shared" si="26"/>
        <v>#N/A</v>
      </c>
      <c r="X144" s="466">
        <f t="shared" si="27"/>
        <v>105.546097992556</v>
      </c>
      <c r="Y144" s="466" t="e">
        <f t="shared" si="28"/>
        <v>#N/A</v>
      </c>
      <c r="AA144" s="35">
        <f t="shared" si="29"/>
        <v>153</v>
      </c>
      <c r="AB144" s="466">
        <f>[1]!srIx2Val(AC$6,AA144,1)</f>
        <v>1.375</v>
      </c>
      <c r="AC144" s="1001">
        <f>[1]!srIx2Val(AC$6,AA144,5)</f>
        <v>24190</v>
      </c>
      <c r="AD144" s="1001">
        <f t="shared" si="30"/>
        <v>14762.691946938228</v>
      </c>
      <c r="AE144" s="465">
        <f>IF(AD144&lt;=0,0,[1]!srRng2E(AC$6,AD144))</f>
        <v>0.68243162251040879</v>
      </c>
      <c r="AF144" s="466">
        <f t="shared" si="31"/>
        <v>0.69256837748959121</v>
      </c>
      <c r="AG144" s="466" t="e">
        <f t="shared" si="32"/>
        <v>#N/A</v>
      </c>
      <c r="AH144" s="466">
        <f t="shared" si="33"/>
        <v>27.702735099583649</v>
      </c>
      <c r="AI144" s="466" t="e">
        <f t="shared" si="34"/>
        <v>#N/A</v>
      </c>
    </row>
    <row r="145" spans="17:35">
      <c r="Q145" s="35">
        <f t="shared" si="35"/>
        <v>154</v>
      </c>
      <c r="R145" s="466">
        <f>[1]!srIx2Val(S$6,Q145,1)</f>
        <v>1.3636363636363635</v>
      </c>
      <c r="S145" s="1001">
        <f>[1]!srIx2Val(S$6,Q145,5)</f>
        <v>32780</v>
      </c>
      <c r="T145" s="1001">
        <f t="shared" si="24"/>
        <v>19901.361889071937</v>
      </c>
      <c r="U145" s="465">
        <f>IF(T145&lt;=0,0,[1]!srRng2E(S$6,T145))</f>
        <v>0.54931828704723351</v>
      </c>
      <c r="V145" s="482">
        <f t="shared" si="25"/>
        <v>0.81431807658913002</v>
      </c>
      <c r="W145" s="466" t="e">
        <f t="shared" si="26"/>
        <v>#N/A</v>
      </c>
      <c r="X145" s="466">
        <f t="shared" si="27"/>
        <v>107.48998610976517</v>
      </c>
      <c r="Y145" s="466" t="e">
        <f t="shared" si="28"/>
        <v>#N/A</v>
      </c>
      <c r="AA145" s="35">
        <f t="shared" si="29"/>
        <v>154</v>
      </c>
      <c r="AB145" s="466">
        <f>[1]!srIx2Val(AC$6,AA145,1)</f>
        <v>1.5</v>
      </c>
      <c r="AC145" s="1001">
        <f>[1]!srIx2Val(AC$6,AA145,5)</f>
        <v>26000</v>
      </c>
      <c r="AD145" s="1001">
        <f t="shared" si="30"/>
        <v>16572.691946938226</v>
      </c>
      <c r="AE145" s="465">
        <f>IF(AD145&lt;=0,0,[1]!srRng2E(AC$6,AD145))</f>
        <v>0.81947981528149294</v>
      </c>
      <c r="AF145" s="466">
        <f t="shared" si="31"/>
        <v>0.68052018471850706</v>
      </c>
      <c r="AG145" s="466" t="e">
        <f t="shared" si="32"/>
        <v>#N/A</v>
      </c>
      <c r="AH145" s="466">
        <f t="shared" si="33"/>
        <v>27.220807388740283</v>
      </c>
      <c r="AI145" s="466" t="e">
        <f t="shared" si="34"/>
        <v>#N/A</v>
      </c>
    </row>
    <row r="146" spans="17:35">
      <c r="Q146" s="35">
        <f t="shared" si="35"/>
        <v>155</v>
      </c>
      <c r="R146" s="466">
        <f>[1]!srIx2Val(S$6,Q146,1)</f>
        <v>1.5151515151515151</v>
      </c>
      <c r="S146" s="1001">
        <f>[1]!srIx2Val(S$6,Q146,5)</f>
        <v>35010</v>
      </c>
      <c r="T146" s="1001">
        <f t="shared" si="24"/>
        <v>22131.361889071937</v>
      </c>
      <c r="U146" s="465">
        <f>IF(T146&lt;=0,0,[1]!srRng2E(S$6,T146))</f>
        <v>0.67665279073845785</v>
      </c>
      <c r="V146" s="482">
        <f t="shared" si="25"/>
        <v>0.83849872441305728</v>
      </c>
      <c r="W146" s="466" t="e">
        <f t="shared" si="26"/>
        <v>#N/A</v>
      </c>
      <c r="X146" s="466">
        <f t="shared" si="27"/>
        <v>110.68183162252356</v>
      </c>
      <c r="Y146" s="466" t="e">
        <f t="shared" si="28"/>
        <v>#N/A</v>
      </c>
      <c r="AA146" s="35">
        <f t="shared" si="29"/>
        <v>155</v>
      </c>
      <c r="AB146" s="466">
        <f>[1]!srIx2Val(AC$6,AA146,1)</f>
        <v>1.625</v>
      </c>
      <c r="AC146" s="1001">
        <f>[1]!srIx2Val(AC$6,AA146,5)</f>
        <v>27840</v>
      </c>
      <c r="AD146" s="1001">
        <f t="shared" si="30"/>
        <v>18412.691946938226</v>
      </c>
      <c r="AE146" s="465">
        <f>IF(AD146&lt;=0,0,[1]!srRng2E(AC$6,AD146))</f>
        <v>0.95704553176623708</v>
      </c>
      <c r="AF146" s="466">
        <f t="shared" si="31"/>
        <v>0.66795446823376292</v>
      </c>
      <c r="AG146" s="466" t="e">
        <f t="shared" si="32"/>
        <v>#N/A</v>
      </c>
      <c r="AH146" s="466">
        <f t="shared" si="33"/>
        <v>26.718178729350516</v>
      </c>
      <c r="AI146" s="466" t="e">
        <f t="shared" si="34"/>
        <v>#N/A</v>
      </c>
    </row>
    <row r="147" spans="17:35">
      <c r="Q147" s="35">
        <f t="shared" si="35"/>
        <v>156</v>
      </c>
      <c r="R147" s="466">
        <f>[1]!srIx2Val(S$6,Q147,1)</f>
        <v>1.7045454545454546</v>
      </c>
      <c r="S147" s="1001">
        <f>[1]!srIx2Val(S$6,Q147,5)</f>
        <v>37760</v>
      </c>
      <c r="T147" s="1001">
        <f t="shared" si="24"/>
        <v>24881.361889071937</v>
      </c>
      <c r="U147" s="465">
        <f>IF(T147&lt;=0,0,[1]!srRng2E(S$6,T147))</f>
        <v>0.84478294754242034</v>
      </c>
      <c r="V147" s="482">
        <f t="shared" si="25"/>
        <v>0.85976250700303425</v>
      </c>
      <c r="W147" s="466" t="e">
        <f t="shared" si="26"/>
        <v>#N/A</v>
      </c>
      <c r="X147" s="466">
        <f t="shared" si="27"/>
        <v>113.48865092440052</v>
      </c>
      <c r="Y147" s="466" t="e">
        <f t="shared" si="28"/>
        <v>#N/A</v>
      </c>
      <c r="AA147" s="35">
        <f t="shared" si="29"/>
        <v>156</v>
      </c>
      <c r="AB147" s="466">
        <f>[1]!srIx2Val(AC$6,AA147,1)</f>
        <v>1.75</v>
      </c>
      <c r="AC147" s="1001">
        <f>[1]!srIx2Val(AC$6,AA147,5)</f>
        <v>29730</v>
      </c>
      <c r="AD147" s="1001">
        <f t="shared" si="30"/>
        <v>20302.691946938226</v>
      </c>
      <c r="AE147" s="465">
        <f>IF(AD147&lt;=0,0,[1]!srRng2E(AC$6,AD147))</f>
        <v>1.0965214666866343</v>
      </c>
      <c r="AF147" s="466">
        <f t="shared" si="31"/>
        <v>0.65347853331336569</v>
      </c>
      <c r="AG147" s="466" t="e">
        <f t="shared" si="32"/>
        <v>#N/A</v>
      </c>
      <c r="AH147" s="466">
        <f t="shared" si="33"/>
        <v>26.139141332534628</v>
      </c>
      <c r="AI147" s="466" t="e">
        <f t="shared" si="34"/>
        <v>#N/A</v>
      </c>
    </row>
    <row r="148" spans="17:35">
      <c r="Q148" s="35">
        <f t="shared" si="35"/>
        <v>157</v>
      </c>
      <c r="R148" s="466">
        <f>[1]!srIx2Val(S$6,Q148,1)</f>
        <v>1.893939393939394</v>
      </c>
      <c r="S148" s="1001">
        <f>[1]!srIx2Val(S$6,Q148,5)</f>
        <v>40490</v>
      </c>
      <c r="T148" s="1001">
        <f t="shared" si="24"/>
        <v>27611.361889071937</v>
      </c>
      <c r="U148" s="465">
        <f>IF(T148&lt;=0,0,[1]!srRng2E(S$6,T148))</f>
        <v>1.0195508025778433</v>
      </c>
      <c r="V148" s="482">
        <f t="shared" si="25"/>
        <v>0.87438859136155078</v>
      </c>
      <c r="W148" s="466" t="e">
        <f t="shared" si="26"/>
        <v>#N/A</v>
      </c>
      <c r="X148" s="466">
        <f t="shared" si="27"/>
        <v>115.41929405972471</v>
      </c>
      <c r="Y148" s="466" t="e">
        <f t="shared" si="28"/>
        <v>#N/A</v>
      </c>
      <c r="AA148" s="35">
        <f t="shared" si="29"/>
        <v>157</v>
      </c>
      <c r="AB148" s="466">
        <f>[1]!srIx2Val(AC$6,AA148,1)</f>
        <v>2</v>
      </c>
      <c r="AC148" s="1001">
        <f>[1]!srIx2Val(AC$6,AA148,5)</f>
        <v>33620</v>
      </c>
      <c r="AD148" s="1001">
        <f t="shared" si="30"/>
        <v>24192.691946938226</v>
      </c>
      <c r="AE148" s="465">
        <f>IF(AD148&lt;=0,0,[1]!srRng2E(AC$6,AD148))</f>
        <v>1.3751859079377229</v>
      </c>
      <c r="AF148" s="466">
        <f t="shared" si="31"/>
        <v>0.62481409206227712</v>
      </c>
      <c r="AG148" s="466" t="e">
        <f t="shared" si="32"/>
        <v>#N/A</v>
      </c>
      <c r="AH148" s="466">
        <f t="shared" si="33"/>
        <v>24.992563682491085</v>
      </c>
      <c r="AI148" s="466" t="e">
        <f t="shared" si="34"/>
        <v>#N/A</v>
      </c>
    </row>
    <row r="149" spans="17:35">
      <c r="Q149" s="35">
        <f t="shared" si="35"/>
        <v>158</v>
      </c>
      <c r="R149" s="466">
        <f>[1]!srIx2Val(S$6,Q149,1)</f>
        <v>2.0833333333333335</v>
      </c>
      <c r="S149" s="1001">
        <f>[1]!srIx2Val(S$6,Q149,5)</f>
        <v>43210</v>
      </c>
      <c r="T149" s="1001">
        <f t="shared" si="24"/>
        <v>30331.361889071937</v>
      </c>
      <c r="U149" s="465">
        <f>IF(T149&lt;=0,0,[1]!srRng2E(S$6,T149))</f>
        <v>1.1989209123519364</v>
      </c>
      <c r="V149" s="482">
        <f t="shared" si="25"/>
        <v>0.88441242098139705</v>
      </c>
      <c r="W149" s="466" t="e">
        <f t="shared" si="26"/>
        <v>#N/A</v>
      </c>
      <c r="X149" s="466">
        <f t="shared" si="27"/>
        <v>116.74243956954442</v>
      </c>
      <c r="Y149" s="466" t="e">
        <f t="shared" si="28"/>
        <v>#N/A</v>
      </c>
      <c r="AA149" s="35">
        <f t="shared" si="29"/>
        <v>158</v>
      </c>
      <c r="AB149" s="466">
        <f>[1]!srIx2Val(AC$6,AA149,1)</f>
        <v>2.25</v>
      </c>
      <c r="AC149" s="1001">
        <f>[1]!srIx2Val(AC$6,AA149,5)</f>
        <v>37640</v>
      </c>
      <c r="AD149" s="1001">
        <f t="shared" si="30"/>
        <v>28212.691946938226</v>
      </c>
      <c r="AE149" s="465">
        <f>IF(AD149&lt;=0,0,[1]!srRng2E(AC$6,AD149))</f>
        <v>1.6496489382895652</v>
      </c>
      <c r="AF149" s="466">
        <f t="shared" si="31"/>
        <v>0.60035106171043484</v>
      </c>
      <c r="AG149" s="466" t="e">
        <f t="shared" si="32"/>
        <v>#N/A</v>
      </c>
      <c r="AH149" s="466">
        <f t="shared" si="33"/>
        <v>24.014042468417394</v>
      </c>
      <c r="AI149" s="466" t="e">
        <f t="shared" si="34"/>
        <v>#N/A</v>
      </c>
    </row>
    <row r="150" spans="17:35">
      <c r="Q150" s="35">
        <f t="shared" si="35"/>
        <v>159</v>
      </c>
      <c r="R150" s="466">
        <f>[1]!srIx2Val(S$6,Q150,1)</f>
        <v>2.2727272727272729</v>
      </c>
      <c r="S150" s="1001">
        <f>[1]!srIx2Val(S$6,Q150,5)</f>
        <v>45910</v>
      </c>
      <c r="T150" s="1001">
        <f t="shared" si="24"/>
        <v>33031.361889071937</v>
      </c>
      <c r="U150" s="465">
        <f>IF(T150&lt;=0,0,[1]!srRng2E(S$6,T150))</f>
        <v>1.3807148993798026</v>
      </c>
      <c r="V150" s="482">
        <f t="shared" si="25"/>
        <v>0.8920123733474703</v>
      </c>
      <c r="W150" s="466" t="e">
        <f t="shared" si="26"/>
        <v>#N/A</v>
      </c>
      <c r="X150" s="466">
        <f t="shared" si="27"/>
        <v>117.74563328186608</v>
      </c>
      <c r="Y150" s="466" t="e">
        <f t="shared" si="28"/>
        <v>#N/A</v>
      </c>
      <c r="AA150" s="35">
        <f t="shared" si="29"/>
        <v>159</v>
      </c>
      <c r="AB150" s="466">
        <f>[1]!srIx2Val(AC$6,AA150,1)</f>
        <v>2.5</v>
      </c>
      <c r="AC150" s="1001">
        <f>[1]!srIx2Val(AC$6,AA150,5)</f>
        <v>41800</v>
      </c>
      <c r="AD150" s="1001">
        <f t="shared" si="30"/>
        <v>32372.691946938226</v>
      </c>
      <c r="AE150" s="465">
        <f>IF(AD150&lt;=0,0,[1]!srRng2E(AC$6,AD150))</f>
        <v>1.9198388140705802</v>
      </c>
      <c r="AF150" s="466">
        <f t="shared" si="31"/>
        <v>0.58016118592941979</v>
      </c>
      <c r="AG150" s="466" t="e">
        <f t="shared" si="32"/>
        <v>#N/A</v>
      </c>
      <c r="AH150" s="466">
        <f t="shared" si="33"/>
        <v>23.206447437176791</v>
      </c>
      <c r="AI150" s="466" t="e">
        <f t="shared" si="34"/>
        <v>#N/A</v>
      </c>
    </row>
    <row r="151" spans="17:35">
      <c r="Q151" s="35">
        <f t="shared" si="35"/>
        <v>160</v>
      </c>
      <c r="R151" s="466">
        <f>[1]!srIx2Val(S$6,Q151,1)</f>
        <v>2.4621212121212119</v>
      </c>
      <c r="S151" s="1001">
        <f>[1]!srIx2Val(S$6,Q151,5)</f>
        <v>48590</v>
      </c>
      <c r="T151" s="1001">
        <f t="shared" si="24"/>
        <v>35711.361889071937</v>
      </c>
      <c r="U151" s="465">
        <f>IF(T151&lt;=0,0,[1]!srRng2E(S$6,T151))</f>
        <v>1.5634546755559184</v>
      </c>
      <c r="V151" s="482">
        <f t="shared" si="25"/>
        <v>0.89866653656529349</v>
      </c>
      <c r="W151" s="466" t="e">
        <f t="shared" si="26"/>
        <v>#N/A</v>
      </c>
      <c r="X151" s="466">
        <f t="shared" si="27"/>
        <v>118.62398282661874</v>
      </c>
      <c r="Y151" s="466" t="e">
        <f t="shared" si="28"/>
        <v>#N/A</v>
      </c>
      <c r="AA151" s="35">
        <f t="shared" si="29"/>
        <v>160</v>
      </c>
      <c r="AB151" s="466">
        <f>[1]!srIx2Val(AC$6,AA151,1)</f>
        <v>2.75</v>
      </c>
      <c r="AC151" s="1001">
        <f>[1]!srIx2Val(AC$6,AA151,5)</f>
        <v>46090</v>
      </c>
      <c r="AD151" s="1001">
        <f t="shared" si="30"/>
        <v>36662.691946938226</v>
      </c>
      <c r="AE151" s="465">
        <f>IF(AD151&lt;=0,0,[1]!srRng2E(AC$6,AD151))</f>
        <v>2.1892221360036213</v>
      </c>
      <c r="AF151" s="466">
        <f t="shared" si="31"/>
        <v>0.56077786399637874</v>
      </c>
      <c r="AG151" s="466" t="e">
        <f t="shared" si="32"/>
        <v>#N/A</v>
      </c>
      <c r="AH151" s="466">
        <f t="shared" si="33"/>
        <v>22.43111455985515</v>
      </c>
      <c r="AI151" s="466" t="e">
        <f t="shared" si="34"/>
        <v>#N/A</v>
      </c>
    </row>
    <row r="152" spans="17:35">
      <c r="Q152" s="35">
        <f t="shared" si="35"/>
        <v>161</v>
      </c>
      <c r="R152" s="466">
        <f>[1]!srIx2Val(S$6,Q152,1)</f>
        <v>2.6515151515151514</v>
      </c>
      <c r="S152" s="1001">
        <f>[1]!srIx2Val(S$6,Q152,5)</f>
        <v>51270</v>
      </c>
      <c r="T152" s="1001">
        <f t="shared" si="24"/>
        <v>38391.361889071937</v>
      </c>
      <c r="U152" s="465">
        <f>IF(T152&lt;=0,0,[1]!srRng2E(S$6,T152))</f>
        <v>1.7483462294005951</v>
      </c>
      <c r="V152" s="482">
        <f t="shared" si="25"/>
        <v>0.90316892211455624</v>
      </c>
      <c r="W152" s="466" t="e">
        <f t="shared" si="26"/>
        <v>#N/A</v>
      </c>
      <c r="X152" s="466">
        <f t="shared" si="27"/>
        <v>119.21829771912142</v>
      </c>
      <c r="Y152" s="466" t="e">
        <f t="shared" si="28"/>
        <v>#N/A</v>
      </c>
      <c r="AA152" s="35">
        <f t="shared" si="29"/>
        <v>161</v>
      </c>
      <c r="AB152" s="466">
        <f>[1]!srIx2Val(AC$6,AA152,1)</f>
        <v>3</v>
      </c>
      <c r="AC152" s="1001">
        <f>[1]!srIx2Val(AC$6,AA152,5)</f>
        <v>50500</v>
      </c>
      <c r="AD152" s="1001">
        <f t="shared" si="30"/>
        <v>41072.691946938226</v>
      </c>
      <c r="AE152" s="465">
        <f>IF(AD152&lt;=0,0,[1]!srRng2E(AC$6,AD152))</f>
        <v>2.4562915833496533</v>
      </c>
      <c r="AF152" s="466">
        <f t="shared" si="31"/>
        <v>0.54370841665034675</v>
      </c>
      <c r="AG152" s="466" t="e">
        <f t="shared" si="32"/>
        <v>#N/A</v>
      </c>
      <c r="AH152" s="466">
        <f t="shared" si="33"/>
        <v>21.74833666601387</v>
      </c>
      <c r="AI152" s="466" t="e">
        <f t="shared" si="34"/>
        <v>#N/A</v>
      </c>
    </row>
    <row r="153" spans="17:35">
      <c r="Q153" s="35">
        <f t="shared" si="35"/>
        <v>162</v>
      </c>
      <c r="R153" s="466">
        <f>[1]!srIx2Val(S$6,Q153,1)</f>
        <v>2.8409090909090908</v>
      </c>
      <c r="S153" s="1001">
        <f>[1]!srIx2Val(S$6,Q153,5)</f>
        <v>53950</v>
      </c>
      <c r="T153" s="1001">
        <f t="shared" si="24"/>
        <v>41071.361889071937</v>
      </c>
      <c r="U153" s="465">
        <f>IF(T153&lt;=0,0,[1]!srRng2E(S$6,T153))</f>
        <v>1.9344196948161723</v>
      </c>
      <c r="V153" s="482">
        <f t="shared" si="25"/>
        <v>0.90648939609291856</v>
      </c>
      <c r="W153" s="466" t="e">
        <f t="shared" si="26"/>
        <v>#N/A</v>
      </c>
      <c r="X153" s="466">
        <f t="shared" si="27"/>
        <v>119.65660028426525</v>
      </c>
      <c r="Y153" s="466" t="e">
        <f t="shared" si="28"/>
        <v>#N/A</v>
      </c>
      <c r="AA153" s="35">
        <f t="shared" si="29"/>
        <v>162</v>
      </c>
      <c r="AB153" s="466">
        <f>[1]!srIx2Val(AC$6,AA153,1)</f>
        <v>3.25</v>
      </c>
      <c r="AC153" s="1001">
        <f>[1]!srIx2Val(AC$6,AA153,5)</f>
        <v>55040</v>
      </c>
      <c r="AD153" s="1001">
        <f t="shared" si="30"/>
        <v>45612.691946938226</v>
      </c>
      <c r="AE153" s="465">
        <f>IF(AD153&lt;=0,0,[1]!srRng2E(AC$6,AD153))</f>
        <v>2.7221848453926705</v>
      </c>
      <c r="AF153" s="466">
        <f t="shared" si="31"/>
        <v>0.52781515460732953</v>
      </c>
      <c r="AG153" s="466" t="e">
        <f t="shared" si="32"/>
        <v>#N/A</v>
      </c>
      <c r="AH153" s="466">
        <f t="shared" si="33"/>
        <v>21.112606184293181</v>
      </c>
      <c r="AI153" s="466" t="e">
        <f t="shared" si="34"/>
        <v>#N/A</v>
      </c>
    </row>
    <row r="154" spans="17:35">
      <c r="Q154" s="35">
        <f t="shared" si="35"/>
        <v>163</v>
      </c>
      <c r="R154" s="466">
        <f>[1]!srIx2Val(S$6,Q154,1)</f>
        <v>3.0303030303030303</v>
      </c>
      <c r="S154" s="1001">
        <f>[1]!srIx2Val(S$6,Q154,5)</f>
        <v>56620</v>
      </c>
      <c r="T154" s="1001">
        <f t="shared" si="24"/>
        <v>43741.361889071937</v>
      </c>
      <c r="U154" s="465">
        <f>IF(T154&lt;=0,0,[1]!srRng2E(S$6,T154))</f>
        <v>2.1206061931167186</v>
      </c>
      <c r="V154" s="482">
        <f t="shared" si="25"/>
        <v>0.90969683718631167</v>
      </c>
      <c r="W154" s="466" t="e">
        <f t="shared" si="26"/>
        <v>#N/A</v>
      </c>
      <c r="X154" s="466">
        <f t="shared" si="27"/>
        <v>120.07998250859313</v>
      </c>
      <c r="Y154" s="466" t="e">
        <f t="shared" si="28"/>
        <v>#N/A</v>
      </c>
      <c r="AA154" s="35">
        <f t="shared" si="29"/>
        <v>163</v>
      </c>
      <c r="AB154" s="466">
        <f>[1]!srIx2Val(AC$6,AA154,1)</f>
        <v>3.5</v>
      </c>
      <c r="AC154" s="1001">
        <f>[1]!srIx2Val(AC$6,AA154,5)</f>
        <v>59690</v>
      </c>
      <c r="AD154" s="1001">
        <f t="shared" si="30"/>
        <v>50262.691946938226</v>
      </c>
      <c r="AE154" s="465">
        <f>IF(AD154&lt;=0,0,[1]!srRng2E(AC$6,AD154))</f>
        <v>2.9865471625248428</v>
      </c>
      <c r="AF154" s="466">
        <f t="shared" si="31"/>
        <v>0.51345283747515724</v>
      </c>
      <c r="AG154" s="466" t="e">
        <f t="shared" si="32"/>
        <v>#N/A</v>
      </c>
      <c r="AH154" s="466">
        <f t="shared" si="33"/>
        <v>20.53811349900629</v>
      </c>
      <c r="AI154" s="466" t="e">
        <f t="shared" si="34"/>
        <v>#N/A</v>
      </c>
    </row>
    <row r="155" spans="17:35">
      <c r="Q155" s="35">
        <f t="shared" si="35"/>
        <v>164</v>
      </c>
      <c r="R155" s="466">
        <f>[1]!srIx2Val(S$6,Q155,1)</f>
        <v>3.4090909090909092</v>
      </c>
      <c r="S155" s="1001">
        <f>[1]!srIx2Val(S$6,Q155,5)</f>
        <v>61950</v>
      </c>
      <c r="T155" s="1001">
        <f t="shared" si="24"/>
        <v>49071.361889071937</v>
      </c>
      <c r="U155" s="465">
        <f>IF(T155&lt;=0,0,[1]!srRng2E(S$6,T155))</f>
        <v>2.4961387585560786</v>
      </c>
      <c r="V155" s="482">
        <f t="shared" si="25"/>
        <v>0.91295215053483059</v>
      </c>
      <c r="W155" s="466" t="e">
        <f t="shared" si="26"/>
        <v>#N/A</v>
      </c>
      <c r="X155" s="466">
        <f t="shared" si="27"/>
        <v>120.50968387059764</v>
      </c>
      <c r="Y155" s="466" t="e">
        <f t="shared" si="28"/>
        <v>#N/A</v>
      </c>
      <c r="AA155" s="35">
        <f t="shared" si="29"/>
        <v>164</v>
      </c>
      <c r="AB155" s="466">
        <f>[1]!srIx2Val(AC$6,AA155,1)</f>
        <v>3.75</v>
      </c>
      <c r="AC155" s="1001">
        <f>[1]!srIx2Val(AC$6,AA155,5)</f>
        <v>64459.999999999993</v>
      </c>
      <c r="AD155" s="1001">
        <f t="shared" si="30"/>
        <v>55032.691946938219</v>
      </c>
      <c r="AE155" s="465">
        <f>IF(AD155&lt;=0,0,[1]!srRng2E(AC$6,AD155))</f>
        <v>3.2495975741706067</v>
      </c>
      <c r="AF155" s="466">
        <f t="shared" si="31"/>
        <v>0.50040242582939332</v>
      </c>
      <c r="AG155" s="466" t="e">
        <f t="shared" si="32"/>
        <v>#N/A</v>
      </c>
      <c r="AH155" s="466">
        <f t="shared" si="33"/>
        <v>20.016097033175733</v>
      </c>
      <c r="AI155" s="466" t="e">
        <f t="shared" si="34"/>
        <v>#N/A</v>
      </c>
    </row>
    <row r="156" spans="17:35">
      <c r="Q156" s="35">
        <f t="shared" si="35"/>
        <v>165</v>
      </c>
      <c r="R156" s="466">
        <f>[1]!srIx2Val(S$6,Q156,1)</f>
        <v>3.7878787878787881</v>
      </c>
      <c r="S156" s="1001">
        <f>[1]!srIx2Val(S$6,Q156,5)</f>
        <v>67270</v>
      </c>
      <c r="T156" s="1001">
        <f t="shared" si="24"/>
        <v>54391.361889071937</v>
      </c>
      <c r="U156" s="465">
        <f>IF(T156&lt;=0,0,[1]!srRng2E(S$6,T156))</f>
        <v>2.8722166814969881</v>
      </c>
      <c r="V156" s="482">
        <f t="shared" si="25"/>
        <v>0.91566210638180001</v>
      </c>
      <c r="W156" s="466" t="e">
        <f t="shared" si="26"/>
        <v>#N/A</v>
      </c>
      <c r="X156" s="466">
        <f t="shared" si="27"/>
        <v>120.8673980423976</v>
      </c>
      <c r="Y156" s="466" t="e">
        <f t="shared" si="28"/>
        <v>#N/A</v>
      </c>
      <c r="AA156" s="35">
        <f t="shared" si="29"/>
        <v>165</v>
      </c>
      <c r="AB156" s="466">
        <f>[1]!srIx2Val(AC$6,AA156,1)</f>
        <v>4</v>
      </c>
      <c r="AC156" s="1001">
        <f>[1]!srIx2Val(AC$6,AA156,5)</f>
        <v>69340</v>
      </c>
      <c r="AD156" s="1001">
        <f t="shared" si="30"/>
        <v>59912.691946938226</v>
      </c>
      <c r="AE156" s="465">
        <f>IF(AD156&lt;=0,0,[1]!srRng2E(AC$6,AD156))</f>
        <v>3.5116714856885864</v>
      </c>
      <c r="AF156" s="466">
        <f t="shared" si="31"/>
        <v>0.48832851431141355</v>
      </c>
      <c r="AG156" s="466" t="e">
        <f t="shared" si="32"/>
        <v>#N/A</v>
      </c>
      <c r="AH156" s="466">
        <f t="shared" si="33"/>
        <v>19.533140572456542</v>
      </c>
      <c r="AI156" s="466" t="e">
        <f t="shared" si="34"/>
        <v>#N/A</v>
      </c>
    </row>
    <row r="157" spans="17:35">
      <c r="Q157" s="35">
        <f t="shared" si="35"/>
        <v>166</v>
      </c>
      <c r="R157" s="466">
        <f>[1]!srIx2Val(S$6,Q157,1)</f>
        <v>4.166666666666667</v>
      </c>
      <c r="S157" s="1001">
        <f>[1]!srIx2Val(S$6,Q157,5)</f>
        <v>72600</v>
      </c>
      <c r="T157" s="1001">
        <f t="shared" si="24"/>
        <v>59721.361889071937</v>
      </c>
      <c r="U157" s="465">
        <f>IF(T157&lt;=0,0,[1]!srRng2E(S$6,T157))</f>
        <v>3.250707963007557</v>
      </c>
      <c r="V157" s="482">
        <f t="shared" si="25"/>
        <v>0.91595870365910992</v>
      </c>
      <c r="W157" s="466" t="e">
        <f t="shared" si="26"/>
        <v>#N/A</v>
      </c>
      <c r="X157" s="466">
        <f t="shared" si="27"/>
        <v>120.90654888300251</v>
      </c>
      <c r="Y157" s="466" t="e">
        <f t="shared" si="28"/>
        <v>#N/A</v>
      </c>
      <c r="AA157" s="35">
        <f t="shared" si="29"/>
        <v>166</v>
      </c>
      <c r="AB157" s="466">
        <f>[1]!srIx2Val(AC$6,AA157,1)</f>
        <v>4.25</v>
      </c>
      <c r="AC157" s="1001">
        <f>[1]!srIx2Val(AC$6,AA157,5)</f>
        <v>74320</v>
      </c>
      <c r="AD157" s="1001">
        <f t="shared" si="30"/>
        <v>64892.691946938226</v>
      </c>
      <c r="AE157" s="465">
        <f>IF(AD157&lt;=0,0,[1]!srRng2E(AC$6,AD157))</f>
        <v>3.7721665956423274</v>
      </c>
      <c r="AF157" s="466">
        <f t="shared" si="31"/>
        <v>0.47783340435767263</v>
      </c>
      <c r="AG157" s="466" t="e">
        <f t="shared" si="32"/>
        <v>#N/A</v>
      </c>
      <c r="AH157" s="466">
        <f t="shared" si="33"/>
        <v>19.113336174306905</v>
      </c>
      <c r="AI157" s="466" t="e">
        <f t="shared" si="34"/>
        <v>#N/A</v>
      </c>
    </row>
    <row r="158" spans="17:35">
      <c r="Q158" s="35">
        <f t="shared" si="35"/>
        <v>167</v>
      </c>
      <c r="R158" s="466">
        <f>[1]!srIx2Val(S$6,Q158,1)</f>
        <v>4.5454545454545459</v>
      </c>
      <c r="S158" s="1001">
        <f>[1]!srIx2Val(S$6,Q158,5)</f>
        <v>77950</v>
      </c>
      <c r="T158" s="1001">
        <f t="shared" si="24"/>
        <v>65071.361889071937</v>
      </c>
      <c r="U158" s="465">
        <f>IF(T158&lt;=0,0,[1]!srRng2E(S$6,T158))</f>
        <v>3.6313341513636321</v>
      </c>
      <c r="V158" s="482">
        <f t="shared" si="25"/>
        <v>0.91412039409091372</v>
      </c>
      <c r="W158" s="466" t="e">
        <f t="shared" si="26"/>
        <v>#N/A</v>
      </c>
      <c r="X158" s="466">
        <f t="shared" si="27"/>
        <v>120.66389202000062</v>
      </c>
      <c r="Y158" s="466" t="e">
        <f t="shared" si="28"/>
        <v>#N/A</v>
      </c>
      <c r="AA158" s="35">
        <f t="shared" si="29"/>
        <v>167</v>
      </c>
      <c r="AB158" s="466">
        <f>[1]!srIx2Val(AC$6,AA158,1)</f>
        <v>4.5</v>
      </c>
      <c r="AC158" s="1001">
        <f>[1]!srIx2Val(AC$6,AA158,5)</f>
        <v>79410</v>
      </c>
      <c r="AD158" s="1001">
        <f t="shared" si="30"/>
        <v>69982.691946938226</v>
      </c>
      <c r="AE158" s="465">
        <f>IF(AD158&lt;=0,0,[1]!srRng2E(AC$6,AD158))</f>
        <v>4.0322636519547306</v>
      </c>
      <c r="AF158" s="466">
        <f t="shared" si="31"/>
        <v>0.46773634804526942</v>
      </c>
      <c r="AG158" s="466" t="e">
        <f t="shared" si="32"/>
        <v>#N/A</v>
      </c>
      <c r="AH158" s="466">
        <f t="shared" si="33"/>
        <v>18.709453921810777</v>
      </c>
      <c r="AI158" s="466" t="e">
        <f t="shared" si="34"/>
        <v>#N/A</v>
      </c>
    </row>
    <row r="159" spans="17:35">
      <c r="Q159" s="35">
        <f t="shared" si="35"/>
        <v>168</v>
      </c>
      <c r="R159" s="466">
        <f>[1]!srIx2Val(S$6,Q159,1)</f>
        <v>4.9242424242424239</v>
      </c>
      <c r="S159" s="1001">
        <f>[1]!srIx2Val(S$6,Q159,5)</f>
        <v>83320</v>
      </c>
      <c r="T159" s="1001">
        <f t="shared" si="24"/>
        <v>70441.361889071937</v>
      </c>
      <c r="U159" s="465">
        <f>IF(T159&lt;=0,0,[1]!srRng2E(S$6,T159))</f>
        <v>4.013258420679966</v>
      </c>
      <c r="V159" s="482">
        <f t="shared" si="25"/>
        <v>0.9109840035624579</v>
      </c>
      <c r="W159" s="466" t="e">
        <f t="shared" si="26"/>
        <v>#N/A</v>
      </c>
      <c r="X159" s="466">
        <f t="shared" si="27"/>
        <v>120.24988847024444</v>
      </c>
      <c r="Y159" s="466" t="e">
        <f t="shared" si="28"/>
        <v>#N/A</v>
      </c>
      <c r="AA159" s="35">
        <f t="shared" si="29"/>
        <v>168</v>
      </c>
      <c r="AB159" s="466">
        <f>[1]!srIx2Val(AC$6,AA159,1)</f>
        <v>5</v>
      </c>
      <c r="AC159" s="1001">
        <f>[1]!srIx2Val(AC$6,AA159,5)</f>
        <v>89900</v>
      </c>
      <c r="AD159" s="1001">
        <f t="shared" si="30"/>
        <v>80472.691946938226</v>
      </c>
      <c r="AE159" s="465">
        <f>IF(AD159&lt;=0,0,[1]!srRng2E(AC$6,AD159))</f>
        <v>4.5506526190151684</v>
      </c>
      <c r="AF159" s="466">
        <f t="shared" si="31"/>
        <v>0.44934738098483162</v>
      </c>
      <c r="AG159" s="466" t="e">
        <f t="shared" si="32"/>
        <v>#N/A</v>
      </c>
      <c r="AH159" s="466">
        <f t="shared" si="33"/>
        <v>17.973895239393265</v>
      </c>
      <c r="AI159" s="466" t="e">
        <f t="shared" si="34"/>
        <v>#N/A</v>
      </c>
    </row>
    <row r="160" spans="17:35">
      <c r="Q160" s="35">
        <f t="shared" si="35"/>
        <v>169</v>
      </c>
      <c r="R160" s="466">
        <f>[1]!srIx2Val(S$6,Q160,1)</f>
        <v>5.3030303030303028</v>
      </c>
      <c r="S160" s="1001">
        <f>[1]!srIx2Val(S$6,Q160,5)</f>
        <v>88720</v>
      </c>
      <c r="T160" s="1001">
        <f t="shared" si="24"/>
        <v>75841.361889071937</v>
      </c>
      <c r="U160" s="465">
        <f>IF(T160&lt;=0,0,[1]!srRng2E(S$6,T160))</f>
        <v>4.3961598618714204</v>
      </c>
      <c r="V160" s="482">
        <f t="shared" si="25"/>
        <v>0.90687044115888238</v>
      </c>
      <c r="W160" s="466" t="e">
        <f t="shared" si="26"/>
        <v>#N/A</v>
      </c>
      <c r="X160" s="466">
        <f t="shared" si="27"/>
        <v>119.70689823297248</v>
      </c>
      <c r="Y160" s="466" t="e">
        <f t="shared" si="28"/>
        <v>#N/A</v>
      </c>
      <c r="AA160" s="35">
        <f t="shared" si="29"/>
        <v>169</v>
      </c>
      <c r="AB160" s="466">
        <f>[1]!srIx2Val(AC$6,AA160,1)</f>
        <v>5.625</v>
      </c>
      <c r="AC160" s="1001">
        <f>[1]!srIx2Val(AC$6,AA160,5)</f>
        <v>103600</v>
      </c>
      <c r="AD160" s="1001">
        <f t="shared" si="30"/>
        <v>94172.691946938226</v>
      </c>
      <c r="AE160" s="465">
        <f>IF(AD160&lt;=0,0,[1]!srRng2E(AC$6,AD160))</f>
        <v>5.1949220778712695</v>
      </c>
      <c r="AF160" s="466">
        <f t="shared" si="31"/>
        <v>0.43007792212873053</v>
      </c>
      <c r="AG160" s="466" t="e">
        <f t="shared" si="32"/>
        <v>#N/A</v>
      </c>
      <c r="AH160" s="466">
        <f t="shared" si="33"/>
        <v>17.203116885149221</v>
      </c>
      <c r="AI160" s="466" t="e">
        <f t="shared" si="34"/>
        <v>#N/A</v>
      </c>
    </row>
    <row r="161" spans="17:35">
      <c r="Q161" s="35">
        <f t="shared" si="35"/>
        <v>170</v>
      </c>
      <c r="R161" s="466">
        <f>[1]!srIx2Val(S$6,Q161,1)</f>
        <v>6.0606060606060606</v>
      </c>
      <c r="S161" s="1001">
        <f>[1]!srIx2Val(S$6,Q161,5)</f>
        <v>99640</v>
      </c>
      <c r="T161" s="1001">
        <f t="shared" si="24"/>
        <v>86761.361889071937</v>
      </c>
      <c r="U161" s="465">
        <f>IF(T161&lt;=0,0,[1]!srRng2E(S$6,T161))</f>
        <v>5.1656398631503881</v>
      </c>
      <c r="V161" s="482">
        <f t="shared" si="25"/>
        <v>0.89496619745567241</v>
      </c>
      <c r="W161" s="466" t="e">
        <f t="shared" si="26"/>
        <v>#N/A</v>
      </c>
      <c r="X161" s="466">
        <f t="shared" si="27"/>
        <v>118.13553806414876</v>
      </c>
      <c r="Y161" s="466" t="e">
        <f t="shared" si="28"/>
        <v>#N/A</v>
      </c>
      <c r="AA161" s="35">
        <f t="shared" si="29"/>
        <v>170</v>
      </c>
      <c r="AB161" s="466">
        <f>[1]!srIx2Val(AC$6,AA161,1)</f>
        <v>6.25</v>
      </c>
      <c r="AC161" s="1001">
        <f>[1]!srIx2Val(AC$6,AA161,5)</f>
        <v>117930</v>
      </c>
      <c r="AD161" s="1001">
        <f t="shared" si="30"/>
        <v>108502.69194693823</v>
      </c>
      <c r="AE161" s="465">
        <f>IF(AD161&lt;=0,0,[1]!srRng2E(AC$6,AD161))</f>
        <v>5.8388298999885828</v>
      </c>
      <c r="AF161" s="466">
        <f t="shared" si="31"/>
        <v>0.41117010001141718</v>
      </c>
      <c r="AG161" s="466" t="e">
        <f t="shared" si="32"/>
        <v>#N/A</v>
      </c>
      <c r="AH161" s="466">
        <f t="shared" si="33"/>
        <v>16.446804000456687</v>
      </c>
      <c r="AI161" s="466" t="e">
        <f t="shared" si="34"/>
        <v>#N/A</v>
      </c>
    </row>
    <row r="162" spans="17:35">
      <c r="Q162" s="35">
        <f t="shared" si="35"/>
        <v>171</v>
      </c>
      <c r="R162" s="466">
        <f>[1]!srIx2Val(S$6,Q162,1)</f>
        <v>6.8181818181818183</v>
      </c>
      <c r="S162" s="1001">
        <f>[1]!srIx2Val(S$6,Q162,5)</f>
        <v>110730</v>
      </c>
      <c r="T162" s="1001">
        <f t="shared" si="24"/>
        <v>97851.361889071937</v>
      </c>
      <c r="U162" s="465">
        <f>IF(T162&lt;=0,0,[1]!srRng2E(S$6,T162))</f>
        <v>5.9365191675735334</v>
      </c>
      <c r="V162" s="482">
        <f t="shared" si="25"/>
        <v>0.88166265060828497</v>
      </c>
      <c r="W162" s="466" t="e">
        <f t="shared" si="26"/>
        <v>#N/A</v>
      </c>
      <c r="X162" s="466">
        <f t="shared" si="27"/>
        <v>116.37946988029361</v>
      </c>
      <c r="Y162" s="466" t="e">
        <f t="shared" si="28"/>
        <v>#N/A</v>
      </c>
      <c r="AA162" s="35">
        <f t="shared" si="29"/>
        <v>171</v>
      </c>
      <c r="AB162" s="466">
        <f>[1]!srIx2Val(AC$6,AA162,1)</f>
        <v>6.875</v>
      </c>
      <c r="AC162" s="1001">
        <f>[1]!srIx2Val(AC$6,AA162,5)</f>
        <v>132900</v>
      </c>
      <c r="AD162" s="1001">
        <f t="shared" si="30"/>
        <v>123472.69194693823</v>
      </c>
      <c r="AE162" s="465">
        <f>IF(AD162&lt;=0,0,[1]!srRng2E(AC$6,AD162))</f>
        <v>6.4814083144179282</v>
      </c>
      <c r="AF162" s="466">
        <f t="shared" si="31"/>
        <v>0.3935916855820718</v>
      </c>
      <c r="AG162" s="466" t="e">
        <f t="shared" si="32"/>
        <v>#N/A</v>
      </c>
      <c r="AH162" s="466">
        <f t="shared" si="33"/>
        <v>15.743667423282872</v>
      </c>
      <c r="AI162" s="466" t="e">
        <f t="shared" si="34"/>
        <v>#N/A</v>
      </c>
    </row>
    <row r="163" spans="17:35">
      <c r="Q163" s="35">
        <f t="shared" si="35"/>
        <v>172</v>
      </c>
      <c r="R163" s="466">
        <f>[1]!srIx2Val(S$6,Q163,1)</f>
        <v>7.5757575757575761</v>
      </c>
      <c r="S163" s="1001">
        <f>[1]!srIx2Val(S$6,Q163,5)</f>
        <v>122040</v>
      </c>
      <c r="T163" s="1001">
        <f t="shared" si="24"/>
        <v>109161.36188907194</v>
      </c>
      <c r="U163" s="465">
        <f>IF(T163&lt;=0,0,[1]!srRng2E(S$6,T163))</f>
        <v>6.7110256229384877</v>
      </c>
      <c r="V163" s="482">
        <f t="shared" si="25"/>
        <v>0.86473195281908843</v>
      </c>
      <c r="W163" s="466" t="e">
        <f t="shared" si="26"/>
        <v>#N/A</v>
      </c>
      <c r="X163" s="466">
        <f t="shared" si="27"/>
        <v>114.14461777211967</v>
      </c>
      <c r="Y163" s="466" t="e">
        <f t="shared" si="28"/>
        <v>#N/A</v>
      </c>
      <c r="AA163" s="35">
        <f t="shared" si="29"/>
        <v>172</v>
      </c>
      <c r="AB163" s="466">
        <f>[1]!srIx2Val(AC$6,AA163,1)</f>
        <v>7.5</v>
      </c>
      <c r="AC163" s="1001">
        <f>[1]!srIx2Val(AC$6,AA163,5)</f>
        <v>148500</v>
      </c>
      <c r="AD163" s="1001">
        <f t="shared" si="30"/>
        <v>139072.69194693823</v>
      </c>
      <c r="AE163" s="465">
        <f>IF(AD163&lt;=0,0,[1]!srRng2E(AC$6,AD163))</f>
        <v>7.1223033632587427</v>
      </c>
      <c r="AF163" s="466">
        <f t="shared" si="31"/>
        <v>0.37769663674125731</v>
      </c>
      <c r="AG163" s="466" t="e">
        <f t="shared" si="32"/>
        <v>#N/A</v>
      </c>
      <c r="AH163" s="466">
        <f t="shared" si="33"/>
        <v>15.107865469650292</v>
      </c>
      <c r="AI163" s="466" t="e">
        <f t="shared" si="34"/>
        <v>#N/A</v>
      </c>
    </row>
    <row r="164" spans="17:35">
      <c r="Q164" s="35">
        <f t="shared" si="35"/>
        <v>173</v>
      </c>
      <c r="R164" s="466">
        <f>[1]!srIx2Val(S$6,Q164,1)</f>
        <v>8.3333333333333339</v>
      </c>
      <c r="S164" s="1001">
        <f>[1]!srIx2Val(S$6,Q164,5)</f>
        <v>133600</v>
      </c>
      <c r="T164" s="1001">
        <f t="shared" si="24"/>
        <v>120721.36188907194</v>
      </c>
      <c r="U164" s="465">
        <f>IF(T164&lt;=0,0,[1]!srRng2E(S$6,T164))</f>
        <v>7.4874314691391328</v>
      </c>
      <c r="V164" s="482">
        <f t="shared" si="25"/>
        <v>0.8459018641942011</v>
      </c>
      <c r="W164" s="466" t="e">
        <f t="shared" si="26"/>
        <v>#N/A</v>
      </c>
      <c r="X164" s="466">
        <f t="shared" si="27"/>
        <v>111.65904607363454</v>
      </c>
      <c r="Y164" s="466" t="e">
        <f t="shared" si="28"/>
        <v>#N/A</v>
      </c>
      <c r="AA164" s="35">
        <f t="shared" si="29"/>
        <v>173</v>
      </c>
      <c r="AB164" s="466">
        <f>[1]!srIx2Val(AC$6,AA164,1)</f>
        <v>8.125</v>
      </c>
      <c r="AC164" s="1001">
        <f>[1]!srIx2Val(AC$6,AA164,5)</f>
        <v>164750</v>
      </c>
      <c r="AD164" s="1001">
        <f t="shared" si="30"/>
        <v>155322.69194693823</v>
      </c>
      <c r="AE164" s="465">
        <f>IF(AD164&lt;=0,0,[1]!srRng2E(AC$6,AD164))</f>
        <v>7.7624112287283937</v>
      </c>
      <c r="AF164" s="466">
        <f t="shared" si="31"/>
        <v>0.36258877127160627</v>
      </c>
      <c r="AG164" s="466" t="e">
        <f t="shared" si="32"/>
        <v>#N/A</v>
      </c>
      <c r="AH164" s="466">
        <f t="shared" si="33"/>
        <v>14.503550850864251</v>
      </c>
      <c r="AI164" s="466" t="e">
        <f t="shared" si="34"/>
        <v>#N/A</v>
      </c>
    </row>
    <row r="165" spans="17:35">
      <c r="Q165" s="35">
        <f t="shared" si="35"/>
        <v>174</v>
      </c>
      <c r="R165" s="466">
        <f>[1]!srIx2Val(S$6,Q165,1)</f>
        <v>9.0909090909090917</v>
      </c>
      <c r="S165" s="1001">
        <f>[1]!srIx2Val(S$6,Q165,5)</f>
        <v>145420</v>
      </c>
      <c r="T165" s="1001">
        <f t="shared" si="24"/>
        <v>132541.36188907194</v>
      </c>
      <c r="U165" s="465">
        <f>IF(T165&lt;=0,0,[1]!srRng2E(S$6,T165))</f>
        <v>8.2639562945024601</v>
      </c>
      <c r="V165" s="482">
        <f t="shared" si="25"/>
        <v>0.82695279640663166</v>
      </c>
      <c r="W165" s="466" t="e">
        <f t="shared" si="26"/>
        <v>#N/A</v>
      </c>
      <c r="X165" s="466">
        <f t="shared" si="27"/>
        <v>109.15776912567537</v>
      </c>
      <c r="Y165" s="466" t="e">
        <f t="shared" si="28"/>
        <v>#N/A</v>
      </c>
      <c r="AA165" s="35">
        <f t="shared" si="29"/>
        <v>174</v>
      </c>
      <c r="AB165" s="466">
        <f>[1]!srIx2Val(AC$6,AA165,1)</f>
        <v>8.75</v>
      </c>
      <c r="AC165" s="1001">
        <f>[1]!srIx2Val(AC$6,AA165,5)</f>
        <v>181650</v>
      </c>
      <c r="AD165" s="1001">
        <f t="shared" si="30"/>
        <v>172222.69194693823</v>
      </c>
      <c r="AE165" s="465">
        <f>IF(AD165&lt;=0,0,[1]!srRng2E(AC$6,AD165))</f>
        <v>8.4013569507003787</v>
      </c>
      <c r="AF165" s="466">
        <f t="shared" si="31"/>
        <v>0.34864304929962131</v>
      </c>
      <c r="AG165" s="466" t="e">
        <f t="shared" si="32"/>
        <v>#N/A</v>
      </c>
      <c r="AH165" s="466">
        <f t="shared" si="33"/>
        <v>13.945721971984852</v>
      </c>
      <c r="AI165" s="466" t="e">
        <f t="shared" si="34"/>
        <v>#N/A</v>
      </c>
    </row>
    <row r="166" spans="17:35">
      <c r="Q166" s="35">
        <f t="shared" si="35"/>
        <v>175</v>
      </c>
      <c r="R166" s="466">
        <f>[1]!srIx2Val(S$6,Q166,1)</f>
        <v>9.8484848484848477</v>
      </c>
      <c r="S166" s="1001">
        <f>[1]!srIx2Val(S$6,Q166,5)</f>
        <v>157540</v>
      </c>
      <c r="T166" s="1001">
        <f t="shared" si="24"/>
        <v>144661.36188907194</v>
      </c>
      <c r="U166" s="465">
        <f>IF(T166&lt;=0,0,[1]!srRng2E(S$6,T166))</f>
        <v>9.0422859232600086</v>
      </c>
      <c r="V166" s="482">
        <f t="shared" si="25"/>
        <v>0.80619892522483916</v>
      </c>
      <c r="W166" s="466" t="e">
        <f t="shared" si="26"/>
        <v>#N/A</v>
      </c>
      <c r="X166" s="466">
        <f t="shared" si="27"/>
        <v>106.41825812967878</v>
      </c>
      <c r="Y166" s="466" t="e">
        <f t="shared" si="28"/>
        <v>#N/A</v>
      </c>
      <c r="AA166" s="35">
        <f t="shared" si="29"/>
        <v>175</v>
      </c>
      <c r="AB166" s="466">
        <f>[1]!srIx2Val(AC$6,AA166,1)</f>
        <v>9.375</v>
      </c>
      <c r="AC166" s="1001">
        <f>[1]!srIx2Val(AC$6,AA166,5)</f>
        <v>199210</v>
      </c>
      <c r="AD166" s="1001">
        <f t="shared" si="30"/>
        <v>189782.69194693823</v>
      </c>
      <c r="AE166" s="465">
        <f>IF(AD166&lt;=0,0,[1]!srRng2E(AC$6,AD166))</f>
        <v>9.0394608466307744</v>
      </c>
      <c r="AF166" s="466">
        <f t="shared" si="31"/>
        <v>0.33553915336922557</v>
      </c>
      <c r="AG166" s="466" t="e">
        <f t="shared" si="32"/>
        <v>#N/A</v>
      </c>
      <c r="AH166" s="466">
        <f t="shared" si="33"/>
        <v>13.421566134769023</v>
      </c>
      <c r="AI166" s="466" t="e">
        <f t="shared" si="34"/>
        <v>#N/A</v>
      </c>
    </row>
    <row r="167" spans="17:35">
      <c r="Q167" s="35">
        <f t="shared" si="35"/>
        <v>176</v>
      </c>
      <c r="R167" s="466">
        <f>[1]!srIx2Val(S$6,Q167,1)</f>
        <v>10.606060606060606</v>
      </c>
      <c r="S167" s="1001">
        <f>[1]!srIx2Val(S$6,Q167,5)</f>
        <v>169960</v>
      </c>
      <c r="T167" s="1001">
        <f t="shared" si="24"/>
        <v>157081.36188907194</v>
      </c>
      <c r="U167" s="465">
        <f>IF(T167&lt;=0,0,[1]!srRng2E(S$6,T167))</f>
        <v>9.8198170997769729</v>
      </c>
      <c r="V167" s="482">
        <f t="shared" si="25"/>
        <v>0.7862435062836326</v>
      </c>
      <c r="W167" s="466" t="e">
        <f t="shared" si="26"/>
        <v>#N/A</v>
      </c>
      <c r="X167" s="466">
        <f t="shared" si="27"/>
        <v>103.7841428294395</v>
      </c>
      <c r="Y167" s="466" t="e">
        <f t="shared" si="28"/>
        <v>#N/A</v>
      </c>
      <c r="AA167" s="35">
        <f t="shared" si="29"/>
        <v>176</v>
      </c>
      <c r="AB167" s="466">
        <f>[1]!srIx2Val(AC$6,AA167,1)</f>
        <v>10</v>
      </c>
      <c r="AC167" s="1001">
        <f>[1]!srIx2Val(AC$6,AA167,5)</f>
        <v>217440</v>
      </c>
      <c r="AD167" s="1001">
        <f t="shared" si="30"/>
        <v>208012.69194693823</v>
      </c>
      <c r="AE167" s="465">
        <f>IF(AD167&lt;=0,0,[1]!srRng2E(AC$6,AD167))</f>
        <v>9.6767927847962909</v>
      </c>
      <c r="AF167" s="466">
        <f t="shared" si="31"/>
        <v>0.3232072152037091</v>
      </c>
      <c r="AG167" s="466" t="e">
        <f t="shared" si="32"/>
        <v>#N/A</v>
      </c>
      <c r="AH167" s="466">
        <f t="shared" si="33"/>
        <v>12.928288608148364</v>
      </c>
      <c r="AI167" s="466" t="e">
        <f t="shared" si="34"/>
        <v>#N/A</v>
      </c>
    </row>
    <row r="168" spans="17:35">
      <c r="Q168" s="35">
        <f t="shared" si="35"/>
        <v>177</v>
      </c>
      <c r="R168" s="466">
        <f>[1]!srIx2Val(S$6,Q168,1)</f>
        <v>11.363636363636363</v>
      </c>
      <c r="S168" s="1001">
        <f>[1]!srIx2Val(S$6,Q168,5)</f>
        <v>182710</v>
      </c>
      <c r="T168" s="1001">
        <f t="shared" si="24"/>
        <v>169831.36188907194</v>
      </c>
      <c r="U168" s="465">
        <f>IF(T168&lt;=0,0,[1]!srRng2E(S$6,T168))</f>
        <v>10.59821413952764</v>
      </c>
      <c r="V168" s="482">
        <f t="shared" si="25"/>
        <v>0.76542222410872363</v>
      </c>
      <c r="W168" s="466" t="e">
        <f t="shared" si="26"/>
        <v>#N/A</v>
      </c>
      <c r="X168" s="466">
        <f t="shared" si="27"/>
        <v>101.03573358235153</v>
      </c>
      <c r="Y168" s="466" t="e">
        <f t="shared" si="28"/>
        <v>#N/A</v>
      </c>
      <c r="AA168" s="35">
        <f t="shared" si="29"/>
        <v>177</v>
      </c>
      <c r="AB168" s="466">
        <f>[1]!srIx2Val(AC$6,AA168,1)</f>
        <v>11.25</v>
      </c>
      <c r="AC168" s="1001">
        <f>[1]!srIx2Val(AC$6,AA168,5)</f>
        <v>255950</v>
      </c>
      <c r="AD168" s="1001">
        <f t="shared" si="30"/>
        <v>246522.69194693823</v>
      </c>
      <c r="AE168" s="465">
        <f>IF(AD168&lt;=0,0,[1]!srRng2E(AC$6,AD168))</f>
        <v>10.943998050731571</v>
      </c>
      <c r="AF168" s="466">
        <f t="shared" si="31"/>
        <v>0.30600194926842939</v>
      </c>
      <c r="AG168" s="466" t="e">
        <f t="shared" si="32"/>
        <v>#N/A</v>
      </c>
      <c r="AH168" s="466">
        <f t="shared" si="33"/>
        <v>12.240077970737175</v>
      </c>
      <c r="AI168" s="466" t="e">
        <f t="shared" si="34"/>
        <v>#N/A</v>
      </c>
    </row>
    <row r="169" spans="17:35">
      <c r="Q169" s="35">
        <f t="shared" si="35"/>
        <v>178</v>
      </c>
      <c r="R169" s="466">
        <f>[1]!srIx2Val(S$6,Q169,1)</f>
        <v>12.121212121212121</v>
      </c>
      <c r="S169" s="1001">
        <f>[1]!srIx2Val(S$6,Q169,5)</f>
        <v>195800</v>
      </c>
      <c r="T169" s="1001">
        <f t="shared" si="24"/>
        <v>182921.36188907194</v>
      </c>
      <c r="U169" s="465">
        <f>IF(T169&lt;=0,0,[1]!srRng2E(S$6,T169))</f>
        <v>11.375868803914157</v>
      </c>
      <c r="V169" s="482">
        <f t="shared" si="25"/>
        <v>0.74534331729796399</v>
      </c>
      <c r="W169" s="466" t="e">
        <f t="shared" si="26"/>
        <v>#N/A</v>
      </c>
      <c r="X169" s="466">
        <f t="shared" si="27"/>
        <v>98.385317883331254</v>
      </c>
      <c r="Y169" s="466" t="e">
        <f t="shared" si="28"/>
        <v>#N/A</v>
      </c>
      <c r="AA169" s="35">
        <f t="shared" si="29"/>
        <v>178</v>
      </c>
      <c r="AB169" s="466">
        <f>[1]!srIx2Val(AC$6,AA169,1)</f>
        <v>12.5</v>
      </c>
      <c r="AC169" s="1001">
        <f>[1]!srIx2Val(AC$6,AA169,5)</f>
        <v>297240</v>
      </c>
      <c r="AD169" s="1001">
        <f t="shared" si="30"/>
        <v>287812.69194693823</v>
      </c>
      <c r="AE169" s="465">
        <f>IF(AD169&lt;=0,0,[1]!srRng2E(AC$6,AD169))</f>
        <v>12.214600749180741</v>
      </c>
      <c r="AF169" s="466">
        <f t="shared" si="31"/>
        <v>0.28539925081925865</v>
      </c>
      <c r="AG169" s="466" t="e">
        <f t="shared" si="32"/>
        <v>#N/A</v>
      </c>
      <c r="AH169" s="466">
        <f t="shared" si="33"/>
        <v>11.415970032770346</v>
      </c>
      <c r="AI169" s="466" t="e">
        <f t="shared" si="34"/>
        <v>#N/A</v>
      </c>
    </row>
    <row r="170" spans="17:35">
      <c r="Q170" s="35">
        <f t="shared" si="35"/>
        <v>179</v>
      </c>
      <c r="R170" s="466">
        <f>[1]!srIx2Val(S$6,Q170,1)</f>
        <v>12.878787878787879</v>
      </c>
      <c r="S170" s="1001">
        <f>[1]!srIx2Val(S$6,Q170,5)</f>
        <v>209230</v>
      </c>
      <c r="T170" s="1001">
        <f t="shared" si="24"/>
        <v>196351.36188907194</v>
      </c>
      <c r="U170" s="465">
        <f>IF(T170&lt;=0,0,[1]!srRng2E(S$6,T170))</f>
        <v>12.152314012560749</v>
      </c>
      <c r="V170" s="482">
        <f t="shared" si="25"/>
        <v>0.72647386622712951</v>
      </c>
      <c r="W170" s="466" t="e">
        <f t="shared" si="26"/>
        <v>#N/A</v>
      </c>
      <c r="X170" s="466">
        <f t="shared" si="27"/>
        <v>95.894550341981102</v>
      </c>
      <c r="Y170" s="466" t="e">
        <f t="shared" si="28"/>
        <v>#N/A</v>
      </c>
      <c r="AA170" s="35">
        <f t="shared" si="29"/>
        <v>179</v>
      </c>
      <c r="AB170" s="466">
        <f>[1]!srIx2Val(AC$6,AA170,1)</f>
        <v>13.75</v>
      </c>
      <c r="AC170" s="1001">
        <f>[1]!srIx2Val(AC$6,AA170,5)</f>
        <v>341370</v>
      </c>
      <c r="AD170" s="1001">
        <f t="shared" si="30"/>
        <v>331942.69194693823</v>
      </c>
      <c r="AE170" s="465">
        <f>IF(AD170&lt;=0,0,[1]!srRng2E(AC$6,AD170))</f>
        <v>13.482967707538473</v>
      </c>
      <c r="AF170" s="466">
        <f t="shared" si="31"/>
        <v>0.26703229246152738</v>
      </c>
      <c r="AG170" s="466" t="e">
        <f t="shared" si="32"/>
        <v>#N/A</v>
      </c>
      <c r="AH170" s="466">
        <f t="shared" si="33"/>
        <v>10.681291698461095</v>
      </c>
      <c r="AI170" s="466" t="e">
        <f t="shared" si="34"/>
        <v>#N/A</v>
      </c>
    </row>
    <row r="171" spans="17:35">
      <c r="Q171" s="35">
        <f t="shared" si="35"/>
        <v>180</v>
      </c>
      <c r="R171" s="466">
        <f>[1]!srIx2Val(S$6,Q171,1)</f>
        <v>13.636363636363637</v>
      </c>
      <c r="S171" s="1001">
        <f>[1]!srIx2Val(S$6,Q171,5)</f>
        <v>223020</v>
      </c>
      <c r="T171" s="1001">
        <f t="shared" si="24"/>
        <v>210141.36188907194</v>
      </c>
      <c r="U171" s="465">
        <f>IF(T171&lt;=0,0,[1]!srRng2E(S$6,T171))</f>
        <v>12.92885500522293</v>
      </c>
      <c r="V171" s="482">
        <f t="shared" si="25"/>
        <v>0.70750863114070661</v>
      </c>
      <c r="W171" s="466" t="e">
        <f t="shared" si="26"/>
        <v>#N/A</v>
      </c>
      <c r="X171" s="466">
        <f t="shared" si="27"/>
        <v>93.391139310573266</v>
      </c>
      <c r="Y171" s="466" t="e">
        <f t="shared" si="28"/>
        <v>#N/A</v>
      </c>
      <c r="AA171" s="35">
        <f t="shared" si="29"/>
        <v>180</v>
      </c>
      <c r="AB171" s="466">
        <f>[1]!srIx2Val(AC$6,AA171,1)</f>
        <v>15</v>
      </c>
      <c r="AC171" s="1001">
        <f>[1]!srIx2Val(AC$6,AA171,5)</f>
        <v>388400</v>
      </c>
      <c r="AD171" s="1001">
        <f t="shared" si="30"/>
        <v>378972.69194693823</v>
      </c>
      <c r="AE171" s="465">
        <f>IF(AD171&lt;=0,0,[1]!srRng2E(AC$6,AD171))</f>
        <v>14.749433657956045</v>
      </c>
      <c r="AF171" s="466">
        <f t="shared" si="31"/>
        <v>0.250566342043955</v>
      </c>
      <c r="AG171" s="466" t="e">
        <f t="shared" si="32"/>
        <v>#N/A</v>
      </c>
      <c r="AH171" s="466">
        <f t="shared" si="33"/>
        <v>10.0226536817582</v>
      </c>
      <c r="AI171" s="466" t="e">
        <f t="shared" si="34"/>
        <v>#N/A</v>
      </c>
    </row>
    <row r="172" spans="17:35">
      <c r="Q172" s="35">
        <f t="shared" si="35"/>
        <v>181</v>
      </c>
      <c r="R172" s="466">
        <f>[1]!srIx2Val(S$6,Q172,1)</f>
        <v>15.151515151515152</v>
      </c>
      <c r="S172" s="1001">
        <f>[1]!srIx2Val(S$6,Q172,5)</f>
        <v>251700</v>
      </c>
      <c r="T172" s="1001">
        <f t="shared" si="24"/>
        <v>238821.36188907194</v>
      </c>
      <c r="U172" s="465">
        <f>IF(T172&lt;=0,0,[1]!srRng2E(S$6,T172))</f>
        <v>14.47114248600397</v>
      </c>
      <c r="V172" s="482">
        <f t="shared" si="25"/>
        <v>0.68037266551118236</v>
      </c>
      <c r="W172" s="466" t="e">
        <f t="shared" si="26"/>
        <v>#N/A</v>
      </c>
      <c r="X172" s="466">
        <f t="shared" si="27"/>
        <v>89.809191847476072</v>
      </c>
      <c r="Y172" s="466" t="e">
        <f t="shared" si="28"/>
        <v>#N/A</v>
      </c>
      <c r="AA172" s="35">
        <f t="shared" si="29"/>
        <v>181</v>
      </c>
      <c r="AB172" s="466">
        <f>[1]!srIx2Val(AC$6,AA172,1)</f>
        <v>16.25</v>
      </c>
      <c r="AC172" s="1001">
        <f>[1]!srIx2Val(AC$6,AA172,5)</f>
        <v>438340</v>
      </c>
      <c r="AD172" s="1001">
        <f t="shared" si="30"/>
        <v>428912.69194693823</v>
      </c>
      <c r="AE172" s="465">
        <f>IF(AD172&lt;=0,0,[1]!srRng2E(AC$6,AD172))</f>
        <v>16.014034139641026</v>
      </c>
      <c r="AF172" s="466">
        <f t="shared" si="31"/>
        <v>0.2359658603589736</v>
      </c>
      <c r="AG172" s="466" t="e">
        <f t="shared" si="32"/>
        <v>#N/A</v>
      </c>
      <c r="AH172" s="466">
        <f t="shared" si="33"/>
        <v>9.438634414358944</v>
      </c>
      <c r="AI172" s="466" t="e">
        <f t="shared" si="34"/>
        <v>#N/A</v>
      </c>
    </row>
    <row r="173" spans="17:35">
      <c r="Q173" s="35">
        <f t="shared" si="35"/>
        <v>182</v>
      </c>
      <c r="R173" s="466">
        <f>[1]!srIx2Val(S$6,Q173,1)</f>
        <v>17.045454545454547</v>
      </c>
      <c r="S173" s="1001">
        <f>[1]!srIx2Val(S$6,Q173,5)</f>
        <v>289630</v>
      </c>
      <c r="T173" s="1001">
        <f t="shared" si="24"/>
        <v>276751.36188907194</v>
      </c>
      <c r="U173" s="465">
        <f>IF(T173&lt;=0,0,[1]!srRng2E(S$6,T173))</f>
        <v>16.402392060387953</v>
      </c>
      <c r="V173" s="482">
        <f t="shared" si="25"/>
        <v>0.64306248506659358</v>
      </c>
      <c r="W173" s="466" t="e">
        <f t="shared" si="26"/>
        <v>#N/A</v>
      </c>
      <c r="X173" s="466">
        <f t="shared" si="27"/>
        <v>84.884248028790353</v>
      </c>
      <c r="Y173" s="466" t="e">
        <f t="shared" si="28"/>
        <v>#N/A</v>
      </c>
      <c r="AA173" s="35">
        <f t="shared" si="29"/>
        <v>182</v>
      </c>
      <c r="AB173" s="466">
        <f>[1]!srIx2Val(AC$6,AA173,1)</f>
        <v>17.5</v>
      </c>
      <c r="AC173" s="1001">
        <f>[1]!srIx2Val(AC$6,AA173,5)</f>
        <v>491180</v>
      </c>
      <c r="AD173" s="1001">
        <f t="shared" si="30"/>
        <v>481752.69194693823</v>
      </c>
      <c r="AE173" s="465">
        <f>IF(AD173&lt;=0,0,[1]!srRng2E(AC$6,AD173))</f>
        <v>17.276984574823484</v>
      </c>
      <c r="AF173" s="466">
        <f t="shared" si="31"/>
        <v>0.2230154251765164</v>
      </c>
      <c r="AG173" s="466" t="e">
        <f t="shared" si="32"/>
        <v>#N/A</v>
      </c>
      <c r="AH173" s="466">
        <f t="shared" si="33"/>
        <v>8.9206170070606561</v>
      </c>
      <c r="AI173" s="466" t="e">
        <f t="shared" si="34"/>
        <v>#N/A</v>
      </c>
    </row>
    <row r="174" spans="17:35">
      <c r="Q174" s="35">
        <f t="shared" si="35"/>
        <v>183</v>
      </c>
      <c r="R174" s="466">
        <f>[1]!srIx2Val(S$6,Q174,1)</f>
        <v>18.939393939393938</v>
      </c>
      <c r="S174" s="1001">
        <f>[1]!srIx2Val(S$6,Q174,5)</f>
        <v>329890</v>
      </c>
      <c r="T174" s="1001">
        <f t="shared" si="24"/>
        <v>317011.36188907194</v>
      </c>
      <c r="U174" s="465">
        <f>IF(T174&lt;=0,0,[1]!srRng2E(S$6,T174))</f>
        <v>18.333547936945457</v>
      </c>
      <c r="V174" s="482">
        <f t="shared" si="25"/>
        <v>0.60584600244848019</v>
      </c>
      <c r="W174" s="466" t="e">
        <f t="shared" si="26"/>
        <v>#N/A</v>
      </c>
      <c r="X174" s="466">
        <f t="shared" si="27"/>
        <v>79.971672323199385</v>
      </c>
      <c r="Y174" s="466" t="e">
        <f t="shared" si="28"/>
        <v>#N/A</v>
      </c>
      <c r="AA174" s="35">
        <f t="shared" si="29"/>
        <v>183</v>
      </c>
      <c r="AB174" s="466">
        <f>[1]!srIx2Val(AC$6,AA174,1)</f>
        <v>20</v>
      </c>
      <c r="AC174" s="1001">
        <f>[1]!srIx2Val(AC$6,AA174,5)</f>
        <v>605360</v>
      </c>
      <c r="AD174" s="1001">
        <f t="shared" si="30"/>
        <v>595932.69194693828</v>
      </c>
      <c r="AE174" s="465">
        <f>IF(AD174&lt;=0,0,[1]!srRng2E(AC$6,AD174))</f>
        <v>19.793586704040511</v>
      </c>
      <c r="AF174" s="466">
        <f t="shared" si="31"/>
        <v>0.20641329595948932</v>
      </c>
      <c r="AG174" s="466" t="e">
        <f t="shared" si="32"/>
        <v>#N/A</v>
      </c>
      <c r="AH174" s="466">
        <f t="shared" si="33"/>
        <v>8.2565318383795727</v>
      </c>
      <c r="AI174" s="466" t="e">
        <f t="shared" si="34"/>
        <v>#N/A</v>
      </c>
    </row>
    <row r="175" spans="17:35">
      <c r="Q175" s="35">
        <f t="shared" si="35"/>
        <v>184</v>
      </c>
      <c r="R175" s="466">
        <f>[1]!srIx2Val(S$6,Q175,1)</f>
        <v>20.833333333333332</v>
      </c>
      <c r="S175" s="1001">
        <f>[1]!srIx2Val(S$6,Q175,5)</f>
        <v>372440</v>
      </c>
      <c r="T175" s="1001">
        <f t="shared" si="24"/>
        <v>359561.36188907194</v>
      </c>
      <c r="U175" s="465">
        <f>IF(T175&lt;=0,0,[1]!srRng2E(S$6,T175))</f>
        <v>20.260093378960221</v>
      </c>
      <c r="V175" s="482">
        <f t="shared" si="25"/>
        <v>0.57323995437311126</v>
      </c>
      <c r="W175" s="466" t="e">
        <f t="shared" si="26"/>
        <v>#N/A</v>
      </c>
      <c r="X175" s="466">
        <f t="shared" si="27"/>
        <v>75.667673977250686</v>
      </c>
      <c r="Y175" s="466" t="e">
        <f t="shared" si="28"/>
        <v>#N/A</v>
      </c>
      <c r="AA175" s="35">
        <f t="shared" si="29"/>
        <v>184</v>
      </c>
      <c r="AB175" s="466">
        <f>[1]!srIx2Val(AC$6,AA175,1)</f>
        <v>22.5</v>
      </c>
      <c r="AC175" s="1001">
        <f>[1]!srIx2Val(AC$6,AA175,5)</f>
        <v>730580</v>
      </c>
      <c r="AD175" s="1001">
        <f t="shared" si="30"/>
        <v>721152.69194693828</v>
      </c>
      <c r="AE175" s="465">
        <f>IF(AD175&lt;=0,0,[1]!srRng2E(AC$6,AD175))</f>
        <v>22.31178509716775</v>
      </c>
      <c r="AF175" s="466">
        <f t="shared" si="31"/>
        <v>0.18821490283225017</v>
      </c>
      <c r="AG175" s="466" t="e">
        <f t="shared" si="32"/>
        <v>#N/A</v>
      </c>
      <c r="AH175" s="466">
        <f t="shared" si="33"/>
        <v>7.528596113290007</v>
      </c>
      <c r="AI175" s="466" t="e">
        <f t="shared" si="34"/>
        <v>#N/A</v>
      </c>
    </row>
    <row r="176" spans="17:35">
      <c r="Q176" s="35">
        <f t="shared" si="35"/>
        <v>185</v>
      </c>
      <c r="R176" s="466">
        <f>[1]!srIx2Val(S$6,Q176,1)</f>
        <v>22.727272727272727</v>
      </c>
      <c r="S176" s="1001">
        <f>[1]!srIx2Val(S$6,Q176,5)</f>
        <v>417190</v>
      </c>
      <c r="T176" s="1001">
        <f t="shared" si="24"/>
        <v>404311.36188907194</v>
      </c>
      <c r="U176" s="465">
        <f>IF(T176&lt;=0,0,[1]!srRng2E(S$6,T176))</f>
        <v>22.182214401941422</v>
      </c>
      <c r="V176" s="482">
        <f t="shared" si="25"/>
        <v>0.54505832533130416</v>
      </c>
      <c r="W176" s="466" t="e">
        <f t="shared" si="26"/>
        <v>#N/A</v>
      </c>
      <c r="X176" s="466">
        <f t="shared" si="27"/>
        <v>71.947698943732149</v>
      </c>
      <c r="Y176" s="466" t="e">
        <f t="shared" si="28"/>
        <v>#N/A</v>
      </c>
      <c r="AA176" s="35">
        <f t="shared" si="29"/>
        <v>185</v>
      </c>
      <c r="AB176" s="466">
        <f>[1]!srIx2Val(AC$6,AA176,1)</f>
        <v>25</v>
      </c>
      <c r="AC176" s="1001">
        <f>[1]!srIx2Val(AC$6,AA176,5)</f>
        <v>865990</v>
      </c>
      <c r="AD176" s="1001">
        <f t="shared" si="30"/>
        <v>856562.69194693828</v>
      </c>
      <c r="AE176" s="465">
        <f>IF(AD176&lt;=0,0,[1]!srRng2E(AC$6,AD176))</f>
        <v>24.825948821116206</v>
      </c>
      <c r="AF176" s="466">
        <f t="shared" si="31"/>
        <v>0.17405117888379351</v>
      </c>
      <c r="AG176" s="466" t="e">
        <f t="shared" si="32"/>
        <v>#N/A</v>
      </c>
      <c r="AH176" s="466">
        <f t="shared" si="33"/>
        <v>6.9620471553517405</v>
      </c>
      <c r="AI176" s="466" t="e">
        <f t="shared" si="34"/>
        <v>#N/A</v>
      </c>
    </row>
    <row r="177" spans="17:35">
      <c r="Q177" s="35">
        <f t="shared" si="35"/>
        <v>186</v>
      </c>
      <c r="R177" s="466">
        <f>[1]!srIx2Val(S$6,Q177,1)</f>
        <v>24.621212121212121</v>
      </c>
      <c r="S177" s="1001">
        <f>[1]!srIx2Val(S$6,Q177,5)</f>
        <v>464040</v>
      </c>
      <c r="T177" s="1001">
        <f t="shared" si="24"/>
        <v>451161.36188907194</v>
      </c>
      <c r="U177" s="465">
        <f>IF(T177&lt;=0,0,[1]!srRng2E(S$6,T177))</f>
        <v>24.100585439065359</v>
      </c>
      <c r="V177" s="482">
        <f t="shared" si="25"/>
        <v>0.52062668214676222</v>
      </c>
      <c r="W177" s="466" t="e">
        <f t="shared" si="26"/>
        <v>#N/A</v>
      </c>
      <c r="X177" s="466">
        <f t="shared" si="27"/>
        <v>68.722722043372613</v>
      </c>
      <c r="Y177" s="466" t="e">
        <f t="shared" si="28"/>
        <v>#N/A</v>
      </c>
      <c r="AA177" s="35">
        <f t="shared" si="29"/>
        <v>186</v>
      </c>
      <c r="AB177" s="466">
        <f>[1]!srIx2Val(AC$6,AA177,1)</f>
        <v>27.5</v>
      </c>
      <c r="AC177" s="1001">
        <f>[1]!srIx2Val(AC$6,AA177,5)</f>
        <v>1010000</v>
      </c>
      <c r="AD177" s="1001">
        <f t="shared" si="30"/>
        <v>1000572.6919469383</v>
      </c>
      <c r="AE177" s="465">
        <f>IF(AD177&lt;=0,0,[1]!srRng2E(AC$6,AD177))</f>
        <v>27.336342822493894</v>
      </c>
      <c r="AF177" s="466">
        <f t="shared" si="31"/>
        <v>0.16365717750610642</v>
      </c>
      <c r="AG177" s="466" t="e">
        <f t="shared" si="32"/>
        <v>#N/A</v>
      </c>
      <c r="AH177" s="466">
        <f t="shared" si="33"/>
        <v>6.5462871002442569</v>
      </c>
      <c r="AI177" s="466" t="e">
        <f t="shared" si="34"/>
        <v>#N/A</v>
      </c>
    </row>
    <row r="178" spans="17:35">
      <c r="Q178" s="35">
        <f t="shared" si="35"/>
        <v>187</v>
      </c>
      <c r="R178" s="466">
        <f>[1]!srIx2Val(S$6,Q178,1)</f>
        <v>26.515151515151516</v>
      </c>
      <c r="S178" s="1001">
        <f>[1]!srIx2Val(S$6,Q178,5)</f>
        <v>512809.99999999994</v>
      </c>
      <c r="T178" s="1001">
        <f t="shared" si="24"/>
        <v>499931.36188907188</v>
      </c>
      <c r="U178" s="465">
        <f>IF(T178&lt;=0,0,[1]!srRng2E(S$6,T178))</f>
        <v>26.015021105912723</v>
      </c>
      <c r="V178" s="482">
        <f t="shared" si="25"/>
        <v>0.50013040923879259</v>
      </c>
      <c r="W178" s="466" t="e">
        <f t="shared" si="26"/>
        <v>#N/A</v>
      </c>
      <c r="X178" s="466">
        <f t="shared" si="27"/>
        <v>66.017214019520623</v>
      </c>
      <c r="Y178" s="466" t="e">
        <f t="shared" si="28"/>
        <v>#N/A</v>
      </c>
      <c r="AA178" s="35">
        <f t="shared" si="29"/>
        <v>187</v>
      </c>
      <c r="AB178" s="466">
        <f>[1]!srIx2Val(AC$6,AA178,1)</f>
        <v>30</v>
      </c>
      <c r="AC178" s="1001">
        <f>[1]!srIx2Val(AC$6,AA178,5)</f>
        <v>1160000</v>
      </c>
      <c r="AD178" s="1001">
        <f t="shared" si="30"/>
        <v>1150572.6919469382</v>
      </c>
      <c r="AE178" s="465">
        <f>IF(AD178&lt;=0,0,[1]!srRng2E(AC$6,AD178))</f>
        <v>29.842878199115635</v>
      </c>
      <c r="AF178" s="466">
        <f t="shared" si="31"/>
        <v>0.15712180088436511</v>
      </c>
      <c r="AG178" s="466" t="e">
        <f t="shared" si="32"/>
        <v>#N/A</v>
      </c>
      <c r="AH178" s="466">
        <f t="shared" si="33"/>
        <v>6.2848720353746046</v>
      </c>
      <c r="AI178" s="466" t="e">
        <f t="shared" si="34"/>
        <v>#N/A</v>
      </c>
    </row>
    <row r="179" spans="17:35">
      <c r="Q179" s="35">
        <f t="shared" si="35"/>
        <v>188</v>
      </c>
      <c r="R179" s="466">
        <f>[1]!srIx2Val(S$6,Q179,1)</f>
        <v>28.40909090909091</v>
      </c>
      <c r="S179" s="1001">
        <f>[1]!srIx2Val(S$6,Q179,5)</f>
        <v>563350</v>
      </c>
      <c r="T179" s="1001">
        <f t="shared" si="24"/>
        <v>550471.361889072</v>
      </c>
      <c r="U179" s="465">
        <f>IF(T179&lt;=0,0,[1]!srRng2E(S$6,T179))</f>
        <v>27.926475949483159</v>
      </c>
      <c r="V179" s="482">
        <f t="shared" si="25"/>
        <v>0.48261495960775136</v>
      </c>
      <c r="W179" s="466" t="e">
        <f t="shared" si="26"/>
        <v>#N/A</v>
      </c>
      <c r="X179" s="466">
        <f t="shared" si="27"/>
        <v>63.705174668223179</v>
      </c>
      <c r="Y179" s="466" t="e">
        <f t="shared" si="28"/>
        <v>#N/A</v>
      </c>
      <c r="AA179" s="35">
        <f t="shared" si="29"/>
        <v>188</v>
      </c>
      <c r="AB179" s="466">
        <f>[1]!srIx2Val(AC$6,AA179,1)</f>
        <v>32.5</v>
      </c>
      <c r="AC179" s="1001">
        <f>[1]!srIx2Val(AC$6,AA179,5)</f>
        <v>1320000</v>
      </c>
      <c r="AD179" s="1001">
        <f t="shared" si="30"/>
        <v>1310572.6919469382</v>
      </c>
      <c r="AE179" s="465">
        <f>IF(AD179&lt;=0,0,[1]!srRng2E(AC$6,AD179))</f>
        <v>32.352698311670906</v>
      </c>
      <c r="AF179" s="466">
        <f t="shared" si="31"/>
        <v>0.14730168832909385</v>
      </c>
      <c r="AG179" s="466" t="e">
        <f t="shared" si="32"/>
        <v>#N/A</v>
      </c>
      <c r="AH179" s="466">
        <f t="shared" si="33"/>
        <v>5.892067533163754</v>
      </c>
      <c r="AI179" s="466" t="e">
        <f t="shared" si="34"/>
        <v>#N/A</v>
      </c>
    </row>
    <row r="180" spans="17:35">
      <c r="Q180" s="35">
        <f t="shared" si="35"/>
        <v>189</v>
      </c>
      <c r="R180" s="466">
        <f>[1]!srIx2Val(S$6,Q180,1)</f>
        <v>30.303030303030305</v>
      </c>
      <c r="S180" s="1001">
        <f>[1]!srIx2Val(S$6,Q180,5)</f>
        <v>615510</v>
      </c>
      <c r="T180" s="1001">
        <f t="shared" si="24"/>
        <v>602631.361889072</v>
      </c>
      <c r="U180" s="465">
        <f>IF(T180&lt;=0,0,[1]!srRng2E(S$6,T180))</f>
        <v>29.835404535036137</v>
      </c>
      <c r="V180" s="482">
        <f t="shared" si="25"/>
        <v>0.46762576799416777</v>
      </c>
      <c r="W180" s="466" t="e">
        <f t="shared" si="26"/>
        <v>#N/A</v>
      </c>
      <c r="X180" s="466">
        <f t="shared" si="27"/>
        <v>61.726601375230146</v>
      </c>
      <c r="Y180" s="466" t="e">
        <f t="shared" si="28"/>
        <v>#N/A</v>
      </c>
      <c r="AA180" s="35">
        <f t="shared" si="29"/>
        <v>189</v>
      </c>
      <c r="AB180" s="466">
        <f>[1]!srIx2Val(AC$6,AA180,1)</f>
        <v>35</v>
      </c>
      <c r="AC180" s="1001">
        <f>[1]!srIx2Val(AC$6,AA180,5)</f>
        <v>1490000</v>
      </c>
      <c r="AD180" s="1001">
        <f t="shared" si="30"/>
        <v>1480572.6919469382</v>
      </c>
      <c r="AE180" s="465">
        <f>IF(AD180&lt;=0,0,[1]!srRng2E(AC$6,AD180))</f>
        <v>34.861363116866741</v>
      </c>
      <c r="AF180" s="466">
        <f t="shared" si="31"/>
        <v>0.13863688313325895</v>
      </c>
      <c r="AG180" s="466" t="e">
        <f t="shared" si="32"/>
        <v>#N/A</v>
      </c>
      <c r="AH180" s="466">
        <f t="shared" si="33"/>
        <v>5.5454753253303579</v>
      </c>
      <c r="AI180" s="466" t="e">
        <f t="shared" si="34"/>
        <v>#N/A</v>
      </c>
    </row>
    <row r="181" spans="17:35">
      <c r="Q181" s="35">
        <f t="shared" si="35"/>
        <v>190</v>
      </c>
      <c r="R181" s="466">
        <f>[1]!srIx2Val(S$6,Q181,1)</f>
        <v>34.090909090909093</v>
      </c>
      <c r="S181" s="1001">
        <f>[1]!srIx2Val(S$6,Q181,5)</f>
        <v>725340</v>
      </c>
      <c r="T181" s="1001">
        <f t="shared" si="24"/>
        <v>712461.361889072</v>
      </c>
      <c r="U181" s="465">
        <f>IF(T181&lt;=0,0,[1]!srRng2E(S$6,T181))</f>
        <v>33.64674337919871</v>
      </c>
      <c r="V181" s="482">
        <f t="shared" si="25"/>
        <v>0.44416571171038299</v>
      </c>
      <c r="W181" s="466" t="e">
        <f t="shared" si="26"/>
        <v>#N/A</v>
      </c>
      <c r="X181" s="466">
        <f t="shared" si="27"/>
        <v>58.629873945770555</v>
      </c>
      <c r="Y181" s="466" t="e">
        <f t="shared" si="28"/>
        <v>#N/A</v>
      </c>
      <c r="AA181" s="35">
        <f t="shared" si="29"/>
        <v>190</v>
      </c>
      <c r="AB181" s="466">
        <f>[1]!srIx2Val(AC$6,AA181,1)</f>
        <v>37.5</v>
      </c>
      <c r="AC181" s="1001">
        <f>[1]!srIx2Val(AC$6,AA181,5)</f>
        <v>1670000</v>
      </c>
      <c r="AD181" s="1001">
        <f t="shared" si="30"/>
        <v>1660572.6919469382</v>
      </c>
      <c r="AE181" s="465">
        <f>IF(AD181&lt;=0,0,[1]!srRng2E(AC$6,AD181))</f>
        <v>37.369065165929698</v>
      </c>
      <c r="AF181" s="466">
        <f t="shared" si="31"/>
        <v>0.13093483407030249</v>
      </c>
      <c r="AG181" s="466" t="e">
        <f t="shared" si="32"/>
        <v>#N/A</v>
      </c>
      <c r="AH181" s="466">
        <f t="shared" si="33"/>
        <v>5.2373933628120994</v>
      </c>
      <c r="AI181" s="466" t="e">
        <f t="shared" si="34"/>
        <v>#N/A</v>
      </c>
    </row>
    <row r="182" spans="17:35">
      <c r="Q182" s="35">
        <f t="shared" si="35"/>
        <v>191</v>
      </c>
      <c r="R182" s="466">
        <f>[1]!srIx2Val(S$6,Q182,1)</f>
        <v>37.878787878787875</v>
      </c>
      <c r="S182" s="1001">
        <f>[1]!srIx2Val(S$6,Q182,5)</f>
        <v>843030</v>
      </c>
      <c r="T182" s="1001">
        <f t="shared" si="24"/>
        <v>830151.361889072</v>
      </c>
      <c r="U182" s="465">
        <f>IF(T182&lt;=0,0,[1]!srRng2E(S$6,T182))</f>
        <v>37.464286050959245</v>
      </c>
      <c r="V182" s="482">
        <f t="shared" si="25"/>
        <v>0.4145018278286301</v>
      </c>
      <c r="W182" s="466" t="e">
        <f t="shared" si="26"/>
        <v>#N/A</v>
      </c>
      <c r="X182" s="466">
        <f t="shared" si="27"/>
        <v>54.714241273379173</v>
      </c>
      <c r="Y182" s="466" t="e">
        <f t="shared" si="28"/>
        <v>#N/A</v>
      </c>
      <c r="AA182" s="35">
        <f t="shared" si="29"/>
        <v>191</v>
      </c>
      <c r="AB182" s="466">
        <f>[1]!srIx2Val(AC$6,AA182,1)</f>
        <v>40</v>
      </c>
      <c r="AC182" s="1001">
        <f>[1]!srIx2Val(AC$6,AA182,5)</f>
        <v>1860000</v>
      </c>
      <c r="AD182" s="1001">
        <f t="shared" si="30"/>
        <v>1850572.6919469382</v>
      </c>
      <c r="AE182" s="465">
        <f>IF(AD182&lt;=0,0,[1]!srRng2E(AC$6,AD182))</f>
        <v>39.875956472986026</v>
      </c>
      <c r="AF182" s="466">
        <f t="shared" si="31"/>
        <v>0.12404352701397414</v>
      </c>
      <c r="AG182" s="466" t="e">
        <f t="shared" si="32"/>
        <v>#N/A</v>
      </c>
      <c r="AH182" s="466">
        <f t="shared" si="33"/>
        <v>4.9617410805589657</v>
      </c>
      <c r="AI182" s="466" t="e">
        <f t="shared" si="34"/>
        <v>#N/A</v>
      </c>
    </row>
    <row r="183" spans="17:35">
      <c r="Q183" s="35">
        <f t="shared" si="35"/>
        <v>192</v>
      </c>
      <c r="R183" s="466">
        <f>[1]!srIx2Val(S$6,Q183,1)</f>
        <v>41.666666666666664</v>
      </c>
      <c r="S183" s="1001">
        <f>[1]!srIx2Val(S$6,Q183,5)</f>
        <v>968440</v>
      </c>
      <c r="T183" s="1001">
        <f t="shared" si="24"/>
        <v>955561.361889072</v>
      </c>
      <c r="U183" s="465">
        <f>IF(T183&lt;=0,0,[1]!srRng2E(S$6,T183))</f>
        <v>41.277680779439557</v>
      </c>
      <c r="V183" s="482">
        <f t="shared" si="25"/>
        <v>0.3889858872271077</v>
      </c>
      <c r="W183" s="466" t="e">
        <f t="shared" si="26"/>
        <v>#N/A</v>
      </c>
      <c r="X183" s="466">
        <f t="shared" si="27"/>
        <v>51.346137113978216</v>
      </c>
      <c r="Y183" s="466" t="e">
        <f t="shared" si="28"/>
        <v>#N/A</v>
      </c>
      <c r="AA183" s="35">
        <f t="shared" si="29"/>
        <v>192</v>
      </c>
      <c r="AB183" s="466">
        <f>[1]!srIx2Val(AC$6,AA183,1)</f>
        <v>42.5</v>
      </c>
      <c r="AC183" s="1001">
        <f>[1]!srIx2Val(AC$6,AA183,5)</f>
        <v>2049999.9999999998</v>
      </c>
      <c r="AD183" s="1001">
        <f t="shared" si="30"/>
        <v>2040572.6919469379</v>
      </c>
      <c r="AE183" s="465">
        <f>IF(AD183&lt;=0,0,[1]!srRng2E(AC$6,AD183))</f>
        <v>42.375956472986026</v>
      </c>
      <c r="AF183" s="466">
        <f t="shared" si="31"/>
        <v>0.12404352701397414</v>
      </c>
      <c r="AG183" s="466" t="e">
        <f t="shared" si="32"/>
        <v>#N/A</v>
      </c>
      <c r="AH183" s="466">
        <f t="shared" si="33"/>
        <v>4.9617410805589657</v>
      </c>
      <c r="AI183" s="466" t="e">
        <f t="shared" si="34"/>
        <v>#N/A</v>
      </c>
    </row>
    <row r="184" spans="17:35">
      <c r="Q184" s="35">
        <f t="shared" si="35"/>
        <v>193</v>
      </c>
      <c r="R184" s="466">
        <f>[1]!srIx2Val(S$6,Q184,1)</f>
        <v>45.454545454545453</v>
      </c>
      <c r="S184" s="1001">
        <f>[1]!srIx2Val(S$6,Q184,5)</f>
        <v>1100000</v>
      </c>
      <c r="T184" s="1001">
        <f t="shared" si="24"/>
        <v>1087121.361889072</v>
      </c>
      <c r="U184" s="465">
        <f>IF(T184&lt;=0,0,[1]!srRng2E(S$6,T184))</f>
        <v>45.083743386157252</v>
      </c>
      <c r="V184" s="482">
        <f t="shared" si="25"/>
        <v>0.37080206838820118</v>
      </c>
      <c r="W184" s="466" t="e">
        <f t="shared" si="26"/>
        <v>#N/A</v>
      </c>
      <c r="X184" s="466">
        <f t="shared" si="27"/>
        <v>48.945873027242556</v>
      </c>
      <c r="Y184" s="466" t="e">
        <f t="shared" si="28"/>
        <v>#N/A</v>
      </c>
      <c r="AA184" s="35">
        <f t="shared" si="29"/>
        <v>193</v>
      </c>
      <c r="AB184" s="466">
        <f>[1]!srIx2Val(AC$6,AA184,1)</f>
        <v>45</v>
      </c>
      <c r="AC184" s="1001">
        <f>[1]!srIx2Val(AC$6,AA184,5)</f>
        <v>2260000</v>
      </c>
      <c r="AD184" s="1001">
        <f t="shared" si="30"/>
        <v>2250572.6919469382</v>
      </c>
      <c r="AE184" s="465">
        <f>IF(AD184&lt;=0,0,[1]!srRng2E(AC$6,AD184))</f>
        <v>44.887770142225456</v>
      </c>
      <c r="AF184" s="466">
        <f t="shared" si="31"/>
        <v>0.11222985777454397</v>
      </c>
      <c r="AG184" s="466" t="e">
        <f t="shared" si="32"/>
        <v>#N/A</v>
      </c>
      <c r="AH184" s="466">
        <f t="shared" si="33"/>
        <v>4.4891943109817589</v>
      </c>
      <c r="AI184" s="466" t="e">
        <f t="shared" si="34"/>
        <v>#N/A</v>
      </c>
    </row>
    <row r="185" spans="17:35">
      <c r="Q185" s="35">
        <f t="shared" si="35"/>
        <v>194</v>
      </c>
      <c r="R185" s="466">
        <f>[1]!srIx2Val(S$6,Q185,1)</f>
        <v>49.242424242424242</v>
      </c>
      <c r="S185" s="1001">
        <f>[1]!srIx2Val(S$6,Q185,5)</f>
        <v>1240000</v>
      </c>
      <c r="T185" s="1001">
        <f t="shared" si="24"/>
        <v>1227121.361889072</v>
      </c>
      <c r="U185" s="465">
        <f>IF(T185&lt;=0,0,[1]!srRng2E(S$6,T185))</f>
        <v>48.893976241587445</v>
      </c>
      <c r="V185" s="482">
        <f t="shared" si="25"/>
        <v>0.34844800083679672</v>
      </c>
      <c r="W185" s="466" t="e">
        <f t="shared" si="26"/>
        <v>#N/A</v>
      </c>
      <c r="X185" s="466">
        <f t="shared" si="27"/>
        <v>45.995136110457167</v>
      </c>
      <c r="Y185" s="466" t="e">
        <f t="shared" si="28"/>
        <v>#N/A</v>
      </c>
      <c r="AA185" s="35">
        <f t="shared" si="29"/>
        <v>194</v>
      </c>
      <c r="AB185" s="466">
        <f>[1]!srIx2Val(AC$6,AA185,1)</f>
        <v>50</v>
      </c>
      <c r="AC185" s="1001">
        <f>[1]!srIx2Val(AC$6,AA185,5)</f>
        <v>2700000</v>
      </c>
      <c r="AD185" s="1001">
        <f t="shared" si="30"/>
        <v>2690572.6919469382</v>
      </c>
      <c r="AE185" s="465">
        <f>IF(AD185&lt;=0,0,[1]!srRng2E(AC$6,AD185))</f>
        <v>49.892871499397025</v>
      </c>
      <c r="AF185" s="466">
        <f t="shared" si="31"/>
        <v>0.10712850060297541</v>
      </c>
      <c r="AG185" s="466" t="e">
        <f t="shared" si="32"/>
        <v>#N/A</v>
      </c>
      <c r="AH185" s="466">
        <f t="shared" si="33"/>
        <v>4.2851400241190163</v>
      </c>
      <c r="AI185" s="466" t="e">
        <f t="shared" si="34"/>
        <v>#N/A</v>
      </c>
    </row>
    <row r="186" spans="17:35">
      <c r="Q186" s="35">
        <f t="shared" si="35"/>
        <v>195</v>
      </c>
      <c r="R186" s="466">
        <f>[1]!srIx2Val(S$6,Q186,1)</f>
        <v>53.030303030303031</v>
      </c>
      <c r="S186" s="1001">
        <f>[1]!srIx2Val(S$6,Q186,5)</f>
        <v>1390000</v>
      </c>
      <c r="T186" s="1001">
        <f t="shared" si="24"/>
        <v>1377121.361889072</v>
      </c>
      <c r="U186" s="465">
        <f>IF(T186&lt;=0,0,[1]!srRng2E(S$6,T186))</f>
        <v>52.705084896188687</v>
      </c>
      <c r="V186" s="482">
        <f t="shared" si="25"/>
        <v>0.32521813411434408</v>
      </c>
      <c r="W186" s="466" t="e">
        <f t="shared" si="26"/>
        <v>#N/A</v>
      </c>
      <c r="X186" s="466">
        <f t="shared" si="27"/>
        <v>42.928793703093419</v>
      </c>
      <c r="Y186" s="466" t="e">
        <f t="shared" si="28"/>
        <v>#N/A</v>
      </c>
      <c r="AA186" s="35">
        <f t="shared" si="29"/>
        <v>195</v>
      </c>
      <c r="AB186" s="466">
        <f>[1]!srIx2Val(AC$6,AA186,1)</f>
        <v>56.25</v>
      </c>
      <c r="AC186" s="1001">
        <f>[1]!srIx2Val(AC$6,AA186,5)</f>
        <v>3290000</v>
      </c>
      <c r="AD186" s="1001">
        <f t="shared" si="30"/>
        <v>3280572.6919469382</v>
      </c>
      <c r="AE186" s="465">
        <f>IF(AD186&lt;=0,0,[1]!srRng2E(AC$6,AD186))</f>
        <v>56.15013444859045</v>
      </c>
      <c r="AF186" s="466">
        <f t="shared" si="31"/>
        <v>9.9865551409550335E-2</v>
      </c>
      <c r="AG186" s="466" t="e">
        <f t="shared" si="32"/>
        <v>#N/A</v>
      </c>
      <c r="AH186" s="466">
        <f t="shared" si="33"/>
        <v>3.9946220563820134</v>
      </c>
      <c r="AI186" s="466" t="e">
        <f t="shared" si="34"/>
        <v>#N/A</v>
      </c>
    </row>
    <row r="187" spans="17:35">
      <c r="Q187" s="35">
        <f t="shared" si="35"/>
        <v>196</v>
      </c>
      <c r="R187" s="466">
        <f>[1]!srIx2Val(S$6,Q187,1)</f>
        <v>60.606060606060609</v>
      </c>
      <c r="S187" s="1001">
        <f>[1]!srIx2Val(S$6,Q187,5)</f>
        <v>1710000</v>
      </c>
      <c r="T187" s="1001">
        <f t="shared" si="24"/>
        <v>1697121.361889072</v>
      </c>
      <c r="U187" s="465">
        <f>IF(T187&lt;=0,0,[1]!srRng2E(S$6,T187))</f>
        <v>60.301168605328414</v>
      </c>
      <c r="V187" s="482">
        <f t="shared" si="25"/>
        <v>0.30489200073219536</v>
      </c>
      <c r="W187" s="466" t="e">
        <f t="shared" si="26"/>
        <v>#N/A</v>
      </c>
      <c r="X187" s="466">
        <f t="shared" si="27"/>
        <v>40.245744096649787</v>
      </c>
      <c r="Y187" s="466" t="e">
        <f t="shared" si="28"/>
        <v>#N/A</v>
      </c>
      <c r="AA187" s="35">
        <f t="shared" si="29"/>
        <v>196</v>
      </c>
      <c r="AB187" s="466">
        <f>[1]!srIx2Val(AC$6,AA187,1)</f>
        <v>62.5</v>
      </c>
      <c r="AC187" s="1001">
        <f>[1]!srIx2Val(AC$6,AA187,5)</f>
        <v>3940000</v>
      </c>
      <c r="AD187" s="1001">
        <f t="shared" si="30"/>
        <v>3930572.6919469382</v>
      </c>
      <c r="AE187" s="465">
        <f>IF(AD187&lt;=0,0,[1]!srRng2E(AC$6,AD187))</f>
        <v>62.409352807182096</v>
      </c>
      <c r="AF187" s="466">
        <f t="shared" si="31"/>
        <v>9.0647192817904454E-2</v>
      </c>
      <c r="AG187" s="466" t="e">
        <f t="shared" si="32"/>
        <v>#N/A</v>
      </c>
      <c r="AH187" s="466">
        <f t="shared" si="33"/>
        <v>3.6258877127161782</v>
      </c>
      <c r="AI187" s="466" t="e">
        <f t="shared" si="34"/>
        <v>#N/A</v>
      </c>
    </row>
    <row r="188" spans="17:35">
      <c r="Q188" s="35">
        <f t="shared" si="35"/>
        <v>197</v>
      </c>
      <c r="R188" s="466">
        <f>[1]!srIx2Val(S$6,Q188,1)</f>
        <v>68.181818181818187</v>
      </c>
      <c r="S188" s="1001">
        <f>[1]!srIx2Val(S$6,Q188,5)</f>
        <v>2049999.9999999998</v>
      </c>
      <c r="T188" s="1001">
        <f t="shared" si="24"/>
        <v>2037121.3618890718</v>
      </c>
      <c r="U188" s="465">
        <f>IF(T188&lt;=0,0,[1]!srRng2E(S$6,T188))</f>
        <v>67.894861004658466</v>
      </c>
      <c r="V188" s="482">
        <f t="shared" si="25"/>
        <v>0.2869571771597208</v>
      </c>
      <c r="W188" s="466" t="e">
        <f t="shared" si="26"/>
        <v>#N/A</v>
      </c>
      <c r="X188" s="466">
        <f t="shared" si="27"/>
        <v>37.878347385083146</v>
      </c>
      <c r="Y188" s="466" t="e">
        <f t="shared" si="28"/>
        <v>#N/A</v>
      </c>
      <c r="AA188" s="35">
        <f t="shared" si="29"/>
        <v>197</v>
      </c>
      <c r="AB188" s="466">
        <f>[1]!srIx2Val(AC$6,AA188,1)</f>
        <v>68.75</v>
      </c>
      <c r="AC188" s="1001">
        <f>[1]!srIx2Val(AC$6,AA188,5)</f>
        <v>4640000</v>
      </c>
      <c r="AD188" s="1001">
        <f t="shared" si="30"/>
        <v>4630572.6919469386</v>
      </c>
      <c r="AE188" s="465">
        <f>IF(AD188&lt;=0,0,[1]!srRng2E(AC$6,AD188))</f>
        <v>68.665827606669097</v>
      </c>
      <c r="AF188" s="466">
        <f t="shared" si="31"/>
        <v>8.4172393330902651E-2</v>
      </c>
      <c r="AG188" s="466" t="e">
        <f t="shared" si="32"/>
        <v>#N/A</v>
      </c>
      <c r="AH188" s="466">
        <f t="shared" si="33"/>
        <v>3.366895733236106</v>
      </c>
      <c r="AI188" s="466" t="e">
        <f t="shared" si="34"/>
        <v>#N/A</v>
      </c>
    </row>
    <row r="189" spans="17:35">
      <c r="Q189" s="35">
        <f t="shared" si="35"/>
        <v>198</v>
      </c>
      <c r="R189" s="466">
        <f>[1]!srIx2Val(S$6,Q189,1)</f>
        <v>75.757575757575751</v>
      </c>
      <c r="S189" s="1001">
        <f>[1]!srIx2Val(S$6,Q189,5)</f>
        <v>2420000</v>
      </c>
      <c r="T189" s="1001">
        <f t="shared" si="24"/>
        <v>2407121.3618890718</v>
      </c>
      <c r="U189" s="465">
        <f>IF(T189&lt;=0,0,[1]!srRng2E(S$6,T189))</f>
        <v>75.493885378564116</v>
      </c>
      <c r="V189" s="482">
        <f t="shared" si="25"/>
        <v>0.26369037901163495</v>
      </c>
      <c r="W189" s="466" t="e">
        <f t="shared" si="26"/>
        <v>#N/A</v>
      </c>
      <c r="X189" s="466">
        <f t="shared" si="27"/>
        <v>34.807130029535813</v>
      </c>
      <c r="Y189" s="466" t="e">
        <f t="shared" si="28"/>
        <v>#N/A</v>
      </c>
      <c r="AA189" s="35">
        <f t="shared" si="29"/>
        <v>198</v>
      </c>
      <c r="AB189" s="466">
        <f>[1]!srIx2Val(AC$6,AA189,1)</f>
        <v>75</v>
      </c>
      <c r="AC189" s="1001">
        <f>[1]!srIx2Val(AC$6,AA189,5)</f>
        <v>5390000</v>
      </c>
      <c r="AD189" s="1001">
        <f t="shared" si="30"/>
        <v>5380572.6919469386</v>
      </c>
      <c r="AE189" s="465">
        <f>IF(AD189&lt;=0,0,[1]!srRng2E(AC$6,AD189))</f>
        <v>74.921439099557816</v>
      </c>
      <c r="AF189" s="466">
        <f t="shared" si="31"/>
        <v>7.8560900442184334E-2</v>
      </c>
      <c r="AG189" s="466" t="e">
        <f t="shared" si="32"/>
        <v>#N/A</v>
      </c>
      <c r="AH189" s="466">
        <f t="shared" si="33"/>
        <v>3.1424360176873734</v>
      </c>
      <c r="AI189" s="466" t="e">
        <f t="shared" si="34"/>
        <v>#N/A</v>
      </c>
    </row>
    <row r="190" spans="17:35">
      <c r="Q190" s="35">
        <f t="shared" si="35"/>
        <v>199</v>
      </c>
      <c r="R190" s="466">
        <f>[1]!srIx2Val(S$6,Q190,1)</f>
        <v>83.333333333333329</v>
      </c>
      <c r="S190" s="1001">
        <f>[1]!srIx2Val(S$6,Q190,5)</f>
        <v>2820000</v>
      </c>
      <c r="T190" s="1001">
        <f t="shared" si="24"/>
        <v>2807121.3618890718</v>
      </c>
      <c r="U190" s="465">
        <f>IF(T190&lt;=0,0,[1]!srRng2E(S$6,T190))</f>
        <v>83.089419732747572</v>
      </c>
      <c r="V190" s="482">
        <f t="shared" si="25"/>
        <v>0.24391360058575628</v>
      </c>
      <c r="W190" s="466" t="e">
        <f t="shared" si="26"/>
        <v>#N/A</v>
      </c>
      <c r="X190" s="466">
        <f t="shared" si="27"/>
        <v>32.19659527731983</v>
      </c>
      <c r="Y190" s="466" t="e">
        <f t="shared" si="28"/>
        <v>#N/A</v>
      </c>
      <c r="AA190" s="35">
        <f t="shared" si="29"/>
        <v>199</v>
      </c>
      <c r="AB190" s="466">
        <f>[1]!srIx2Val(AC$6,AA190,1)</f>
        <v>81.25</v>
      </c>
      <c r="AC190" s="1001">
        <f>[1]!srIx2Val(AC$6,AA190,5)</f>
        <v>6190000</v>
      </c>
      <c r="AD190" s="1001">
        <f t="shared" si="30"/>
        <v>6180572.6919469386</v>
      </c>
      <c r="AE190" s="465">
        <f>IF(AD190&lt;=0,0,[1]!srRng2E(AC$6,AD190))</f>
        <v>81.176349155835453</v>
      </c>
      <c r="AF190" s="466">
        <f t="shared" si="31"/>
        <v>7.3650844164546925E-2</v>
      </c>
      <c r="AG190" s="466" t="e">
        <f t="shared" si="32"/>
        <v>#N/A</v>
      </c>
      <c r="AH190" s="466">
        <f t="shared" si="33"/>
        <v>2.946033766581877</v>
      </c>
      <c r="AI190" s="466" t="e">
        <f t="shared" si="34"/>
        <v>#N/A</v>
      </c>
    </row>
    <row r="191" spans="17:35">
      <c r="Q191" s="35">
        <f t="shared" si="35"/>
        <v>200</v>
      </c>
      <c r="R191" s="466">
        <f>[1]!srIx2Val(S$6,Q191,1)</f>
        <v>90.909090909090907</v>
      </c>
      <c r="S191" s="1001">
        <f>[1]!srIx2Val(S$6,Q191,5)</f>
        <v>3240000</v>
      </c>
      <c r="T191" s="1001">
        <f t="shared" si="24"/>
        <v>3227121.3618890718</v>
      </c>
      <c r="U191" s="465">
        <f>IF(T191&lt;=0,0,[1]!srRng2E(S$6,T191))</f>
        <v>90.676792241866366</v>
      </c>
      <c r="V191" s="482">
        <f t="shared" si="25"/>
        <v>0.23229866722454062</v>
      </c>
      <c r="W191" s="466" t="e">
        <f t="shared" si="26"/>
        <v>#N/A</v>
      </c>
      <c r="X191" s="466">
        <f t="shared" si="27"/>
        <v>30.663424073639362</v>
      </c>
      <c r="Y191" s="466" t="e">
        <f t="shared" si="28"/>
        <v>#N/A</v>
      </c>
      <c r="AA191" s="35">
        <f t="shared" si="29"/>
        <v>200</v>
      </c>
      <c r="AB191" s="466">
        <f>[1]!srIx2Val(AC$6,AA191,1)</f>
        <v>87.5</v>
      </c>
      <c r="AC191" s="1001">
        <f>[1]!srIx2Val(AC$6,AA191,5)</f>
        <v>7040000</v>
      </c>
      <c r="AD191" s="1001">
        <f t="shared" si="30"/>
        <v>7030572.6919469386</v>
      </c>
      <c r="AE191" s="465">
        <f>IF(AD191&lt;=0,0,[1]!srRng2E(AC$6,AD191))</f>
        <v>87.430681558433378</v>
      </c>
      <c r="AF191" s="466">
        <f t="shared" si="31"/>
        <v>6.9318441566622369E-2</v>
      </c>
      <c r="AG191" s="466" t="e">
        <f t="shared" si="32"/>
        <v>#N/A</v>
      </c>
      <c r="AH191" s="466">
        <f t="shared" si="33"/>
        <v>2.7727376626648947</v>
      </c>
      <c r="AI191" s="466" t="e">
        <f t="shared" si="34"/>
        <v>#N/A</v>
      </c>
    </row>
    <row r="192" spans="17:35">
      <c r="Q192" s="35">
        <f t="shared" si="35"/>
        <v>201</v>
      </c>
      <c r="R192" s="466">
        <f>[1]!srIx2Val(S$6,Q192,1)</f>
        <v>98.484848484848484</v>
      </c>
      <c r="S192" s="1001">
        <f>[1]!srIx2Val(S$6,Q192,5)</f>
        <v>3690000</v>
      </c>
      <c r="T192" s="1001">
        <f t="shared" si="24"/>
        <v>3677121.3618890718</v>
      </c>
      <c r="U192" s="465">
        <f>IF(T192&lt;=0,0,[1]!srRng2E(S$6,T192))</f>
        <v>98.268036395438912</v>
      </c>
      <c r="V192" s="482">
        <f t="shared" si="25"/>
        <v>0.2168120894095722</v>
      </c>
      <c r="W192" s="466" t="e">
        <f t="shared" si="26"/>
        <v>#N/A</v>
      </c>
      <c r="X192" s="466">
        <f t="shared" si="27"/>
        <v>28.61919580206353</v>
      </c>
      <c r="Y192" s="466" t="e">
        <f t="shared" si="28"/>
        <v>#N/A</v>
      </c>
      <c r="AA192" s="35">
        <f t="shared" si="29"/>
        <v>201</v>
      </c>
      <c r="AB192" s="466">
        <f>[1]!srIx2Val(AC$6,AA192,1)</f>
        <v>93.75</v>
      </c>
      <c r="AC192" s="1001">
        <f>[1]!srIx2Val(AC$6,AA192,5)</f>
        <v>7930000</v>
      </c>
      <c r="AD192" s="1001">
        <f t="shared" si="30"/>
        <v>7920572.6919469386</v>
      </c>
      <c r="AE192" s="465">
        <f>IF(AD192&lt;=0,0,[1]!srRng2E(AC$6,AD192))</f>
        <v>93.683796994009398</v>
      </c>
      <c r="AF192" s="466">
        <f t="shared" si="31"/>
        <v>6.6203005990601582E-2</v>
      </c>
      <c r="AG192" s="466" t="e">
        <f t="shared" si="32"/>
        <v>#N/A</v>
      </c>
      <c r="AH192" s="466">
        <f t="shared" si="33"/>
        <v>2.6481202396240633</v>
      </c>
      <c r="AI192" s="466" t="e">
        <f t="shared" si="34"/>
        <v>#N/A</v>
      </c>
    </row>
    <row r="193" spans="17:35">
      <c r="Q193" s="35">
        <f t="shared" si="35"/>
        <v>202</v>
      </c>
      <c r="R193" s="555">
        <f>[1]!srIx2Val(S$6,Q193,1)</f>
        <v>106.06060606060606</v>
      </c>
      <c r="S193" s="1001">
        <f>[1]!srIx2Val(S$6,Q193,5)</f>
        <v>4160000</v>
      </c>
      <c r="T193" s="1001">
        <f t="shared" si="24"/>
        <v>4147121.3618890718</v>
      </c>
      <c r="U193" s="465">
        <f>IF(T193&lt;=0,0,[1]!srRng2E(S$6,T193))</f>
        <v>105.85302001755436</v>
      </c>
      <c r="V193" s="482">
        <f t="shared" si="25"/>
        <v>0.20758604305170536</v>
      </c>
      <c r="W193" s="466" t="e">
        <f t="shared" si="26"/>
        <v>#N/A</v>
      </c>
      <c r="X193" s="466">
        <f t="shared" si="27"/>
        <v>27.401357682825108</v>
      </c>
      <c r="Y193" s="466" t="e">
        <f t="shared" si="28"/>
        <v>#N/A</v>
      </c>
      <c r="AA193" s="35">
        <f t="shared" si="29"/>
        <v>202</v>
      </c>
      <c r="AB193" s="555">
        <f>[1]!srIx2Val(AC$6,AA193,1)</f>
        <v>100</v>
      </c>
      <c r="AC193" s="1001">
        <f>[1]!srIx2Val(AC$6,AA193,5)</f>
        <v>8870000</v>
      </c>
      <c r="AD193" s="1001">
        <f t="shared" si="30"/>
        <v>8860572.6919469386</v>
      </c>
      <c r="AE193" s="465">
        <f>IF(AD193&lt;=0,0,[1]!srRng2E(AC$6,AD193))</f>
        <v>99.937318430498266</v>
      </c>
      <c r="AF193" s="466">
        <f t="shared" si="31"/>
        <v>6.2681569501734202E-2</v>
      </c>
      <c r="AG193" s="466" t="e">
        <f t="shared" si="32"/>
        <v>#N/A</v>
      </c>
      <c r="AH193" s="466">
        <f t="shared" si="33"/>
        <v>2.5072627800693681</v>
      </c>
      <c r="AI193" s="466" t="e">
        <f t="shared" si="34"/>
        <v>#N/A</v>
      </c>
    </row>
    <row r="194" spans="17:35">
      <c r="Q194" s="35">
        <f t="shared" si="35"/>
        <v>203</v>
      </c>
      <c r="R194" s="555">
        <f>[1]!srIx2Val(S$6,Q194,1)</f>
        <v>113.63636363636364</v>
      </c>
      <c r="S194" s="1001">
        <f>[1]!srIx2Val(S$6,Q194,5)</f>
        <v>4660000</v>
      </c>
      <c r="T194" s="1001">
        <f t="shared" si="24"/>
        <v>4647121.3618890718</v>
      </c>
      <c r="U194" s="465">
        <f>IF(T194&lt;=0,0,[1]!srRng2E(S$6,T194))</f>
        <v>113.44123275589503</v>
      </c>
      <c r="V194" s="482">
        <f t="shared" si="25"/>
        <v>0.19513088046861071</v>
      </c>
      <c r="W194" s="466" t="e">
        <f t="shared" si="26"/>
        <v>#N/A</v>
      </c>
      <c r="X194" s="466">
        <f t="shared" si="27"/>
        <v>25.757276221856614</v>
      </c>
      <c r="Y194" s="466" t="e">
        <f t="shared" si="28"/>
        <v>#N/A</v>
      </c>
      <c r="AA194" s="35">
        <f t="shared" si="29"/>
        <v>203</v>
      </c>
      <c r="AB194" s="555">
        <f>[1]!srIx2Val(AC$6,AA194,1)</f>
        <v>112.5</v>
      </c>
      <c r="AC194" s="1001">
        <f>[1]!srIx2Val(AC$6,AA194,5)</f>
        <v>10890000</v>
      </c>
      <c r="AD194" s="1001">
        <f t="shared" si="30"/>
        <v>10880572.691946939</v>
      </c>
      <c r="AE194" s="465">
        <f>IF(AD194&lt;=0,0,[1]!srRng2E(AC$6,AD194))</f>
        <v>112.44166269769146</v>
      </c>
      <c r="AF194" s="466">
        <f t="shared" si="31"/>
        <v>5.8337302308544281E-2</v>
      </c>
      <c r="AG194" s="466" t="e">
        <f t="shared" si="32"/>
        <v>#N/A</v>
      </c>
      <c r="AH194" s="466">
        <f t="shared" si="33"/>
        <v>2.3334920923417712</v>
      </c>
      <c r="AI194" s="466" t="e">
        <f t="shared" si="34"/>
        <v>#N/A</v>
      </c>
    </row>
    <row r="195" spans="17:35">
      <c r="Q195" s="35">
        <f t="shared" si="35"/>
        <v>204</v>
      </c>
      <c r="R195" s="555">
        <f>[1]!srIx2Val(S$6,Q195,1)</f>
        <v>121.21212121212122</v>
      </c>
      <c r="S195" s="1001">
        <f>[1]!srIx2Val(S$6,Q195,5)</f>
        <v>5170000</v>
      </c>
      <c r="T195" s="1001">
        <f t="shared" si="24"/>
        <v>5157121.3618890718</v>
      </c>
      <c r="U195" s="465">
        <f>IF(T195&lt;=0,0,[1]!srRng2E(S$6,T195))</f>
        <v>121.02081642734807</v>
      </c>
      <c r="V195" s="482">
        <f t="shared" si="25"/>
        <v>0.19130478477315194</v>
      </c>
      <c r="W195" s="466" t="e">
        <f t="shared" si="26"/>
        <v>#N/A</v>
      </c>
      <c r="X195" s="466">
        <f t="shared" si="27"/>
        <v>25.252231590056056</v>
      </c>
      <c r="Y195" s="466" t="e">
        <f t="shared" si="28"/>
        <v>#N/A</v>
      </c>
      <c r="AA195" s="35">
        <f t="shared" si="29"/>
        <v>204</v>
      </c>
      <c r="AB195" s="555">
        <f>[1]!srIx2Val(AC$6,AA195,1)</f>
        <v>125</v>
      </c>
      <c r="AC195" s="1001">
        <f>[1]!srIx2Val(AC$6,AA195,5)</f>
        <v>13070000</v>
      </c>
      <c r="AD195" s="1001">
        <f t="shared" si="30"/>
        <v>13060572.691946939</v>
      </c>
      <c r="AE195" s="465">
        <f>IF(AD195&lt;=0,0,[1]!srRng2E(AC$6,AD195))</f>
        <v>124.94594433455813</v>
      </c>
      <c r="AF195" s="466">
        <f t="shared" si="31"/>
        <v>5.4055665441865131E-2</v>
      </c>
      <c r="AG195" s="466" t="e">
        <f t="shared" si="32"/>
        <v>#N/A</v>
      </c>
      <c r="AH195" s="466">
        <f t="shared" si="33"/>
        <v>2.1622266176746052</v>
      </c>
      <c r="AI195" s="466" t="e">
        <f t="shared" si="34"/>
        <v>#N/A</v>
      </c>
    </row>
    <row r="196" spans="17:35">
      <c r="Q196" s="35">
        <f t="shared" si="35"/>
        <v>205</v>
      </c>
      <c r="R196" s="555">
        <f>[1]!srIx2Val(S$6,Q196,1)</f>
        <v>128.78787878787878</v>
      </c>
      <c r="S196" s="1001">
        <f>[1]!srIx2Val(S$6,Q196,5)</f>
        <v>5710000</v>
      </c>
      <c r="T196" s="1001">
        <f t="shared" si="24"/>
        <v>5697121.3618890718</v>
      </c>
      <c r="U196" s="465">
        <f>IF(T196&lt;=0,0,[1]!srRng2E(S$6,T196))</f>
        <v>128.60720204670415</v>
      </c>
      <c r="V196" s="482">
        <f t="shared" si="25"/>
        <v>0.18067674117463639</v>
      </c>
      <c r="W196" s="466" t="e">
        <f t="shared" si="26"/>
        <v>#N/A</v>
      </c>
      <c r="X196" s="466">
        <f t="shared" si="27"/>
        <v>23.849329835052004</v>
      </c>
      <c r="Y196" s="466" t="e">
        <f t="shared" si="28"/>
        <v>#N/A</v>
      </c>
      <c r="AA196" s="35">
        <f t="shared" si="29"/>
        <v>205</v>
      </c>
      <c r="AB196" s="555">
        <f>[1]!srIx2Val(AC$6,AA196,1)</f>
        <v>137.5</v>
      </c>
      <c r="AC196" s="1001">
        <f>[1]!srIx2Val(AC$6,AA196,5)</f>
        <v>15420000</v>
      </c>
      <c r="AD196" s="1001">
        <f t="shared" si="30"/>
        <v>15410572.691946939</v>
      </c>
      <c r="AE196" s="465">
        <f>IF(AD196&lt;=0,0,[1]!srRng2E(AC$6,AD196))</f>
        <v>137.44985474439861</v>
      </c>
      <c r="AF196" s="466">
        <f t="shared" si="31"/>
        <v>5.0145255601393046E-2</v>
      </c>
      <c r="AG196" s="466" t="e">
        <f t="shared" si="32"/>
        <v>#N/A</v>
      </c>
      <c r="AH196" s="466">
        <f t="shared" si="33"/>
        <v>2.0058102240557218</v>
      </c>
      <c r="AI196" s="466" t="e">
        <f t="shared" si="34"/>
        <v>#N/A</v>
      </c>
    </row>
    <row r="197" spans="17:35">
      <c r="Q197" s="35">
        <f t="shared" si="35"/>
        <v>206</v>
      </c>
      <c r="R197" s="555">
        <f>[1]!srIx2Val(S$6,Q197,1)</f>
        <v>136.36363636363637</v>
      </c>
      <c r="S197" s="1001">
        <f>[1]!srIx2Val(S$6,Q197,5)</f>
        <v>6270000</v>
      </c>
      <c r="T197" s="1001">
        <f t="shared" si="24"/>
        <v>6257121.3618890718</v>
      </c>
      <c r="U197" s="465">
        <f>IF(T197&lt;=0,0,[1]!srRng2E(S$6,T197))</f>
        <v>136.18941236321797</v>
      </c>
      <c r="V197" s="482">
        <f t="shared" si="25"/>
        <v>0.17422400041840547</v>
      </c>
      <c r="W197" s="466" t="e">
        <f t="shared" si="26"/>
        <v>#N/A</v>
      </c>
      <c r="X197" s="466">
        <f t="shared" si="27"/>
        <v>22.997568055229522</v>
      </c>
      <c r="Y197" s="466" t="e">
        <f t="shared" si="28"/>
        <v>#N/A</v>
      </c>
      <c r="AA197" s="35">
        <f t="shared" si="29"/>
        <v>206</v>
      </c>
      <c r="AB197" s="555">
        <f>[1]!srIx2Val(AC$6,AA197,1)</f>
        <v>150</v>
      </c>
      <c r="AC197" s="1001">
        <f>[1]!srIx2Val(AC$6,AA197,5)</f>
        <v>17920000</v>
      </c>
      <c r="AD197" s="1001">
        <f t="shared" si="30"/>
        <v>17910572.691946939</v>
      </c>
      <c r="AE197" s="465">
        <f>IF(AD197&lt;=0,0,[1]!srRng2E(AC$6,AD197))</f>
        <v>149.95286345973469</v>
      </c>
      <c r="AF197" s="466">
        <f t="shared" si="31"/>
        <v>4.7136540265313442E-2</v>
      </c>
      <c r="AG197" s="466" t="e">
        <f t="shared" si="32"/>
        <v>#N/A</v>
      </c>
      <c r="AH197" s="466">
        <f t="shared" si="33"/>
        <v>1.8854616106125377</v>
      </c>
      <c r="AI197" s="466" t="e">
        <f t="shared" si="34"/>
        <v>#N/A</v>
      </c>
    </row>
    <row r="198" spans="17:35">
      <c r="Q198" s="35">
        <f t="shared" si="35"/>
        <v>207</v>
      </c>
      <c r="R198" s="555">
        <f>[1]!srIx2Val(S$6,Q198,1)</f>
        <v>151.5151515151515</v>
      </c>
      <c r="S198" s="1001">
        <f>[1]!srIx2Val(S$6,Q198,5)</f>
        <v>7450000</v>
      </c>
      <c r="T198" s="1001">
        <f t="shared" si="24"/>
        <v>7437121.3618890718</v>
      </c>
      <c r="U198" s="465">
        <f>IF(T198&lt;=0,0,[1]!srRng2E(S$6,T198))</f>
        <v>151.349786362212</v>
      </c>
      <c r="V198" s="482">
        <f t="shared" si="25"/>
        <v>0.1653651529395006</v>
      </c>
      <c r="W198" s="466" t="e">
        <f t="shared" si="26"/>
        <v>#N/A</v>
      </c>
      <c r="X198" s="466">
        <f t="shared" si="27"/>
        <v>21.82820018801408</v>
      </c>
      <c r="Y198" s="466" t="e">
        <f t="shared" si="28"/>
        <v>#N/A</v>
      </c>
      <c r="AA198" s="35">
        <f t="shared" si="29"/>
        <v>207</v>
      </c>
      <c r="AB198" s="555">
        <f>[1]!srIx2Val(AC$6,AA198,1)</f>
        <v>162.5</v>
      </c>
      <c r="AC198" s="1001">
        <f>[1]!srIx2Val(AC$6,AA198,5)</f>
        <v>20570000</v>
      </c>
      <c r="AD198" s="1001">
        <f t="shared" si="30"/>
        <v>20560572.691946939</v>
      </c>
      <c r="AE198" s="465">
        <f>IF(AD198&lt;=0,0,[1]!srRng2E(AC$6,AD198))</f>
        <v>162.45553156578745</v>
      </c>
      <c r="AF198" s="466">
        <f t="shared" si="31"/>
        <v>4.4468434212546981E-2</v>
      </c>
      <c r="AG198" s="466" t="e">
        <f t="shared" si="32"/>
        <v>#N/A</v>
      </c>
      <c r="AH198" s="466">
        <f t="shared" si="33"/>
        <v>1.7787373685018792</v>
      </c>
      <c r="AI198" s="466" t="e">
        <f t="shared" si="34"/>
        <v>#N/A</v>
      </c>
    </row>
    <row r="199" spans="17:35">
      <c r="Q199" s="35">
        <f t="shared" si="35"/>
        <v>208</v>
      </c>
      <c r="R199" s="555">
        <f>[1]!srIx2Val(S$6,Q199,1)</f>
        <v>170.45454545454547</v>
      </c>
      <c r="S199" s="1001">
        <f>[1]!srIx2Val(S$6,Q199,5)</f>
        <v>9040000</v>
      </c>
      <c r="T199" s="1001">
        <f t="shared" si="24"/>
        <v>9027121.3618890718</v>
      </c>
      <c r="U199" s="465">
        <f>IF(T199&lt;=0,0,[1]!srRng2E(S$6,T199))</f>
        <v>170.30114067430284</v>
      </c>
      <c r="V199" s="482">
        <f t="shared" si="25"/>
        <v>0.15340478024262438</v>
      </c>
      <c r="W199" s="466" t="e">
        <f t="shared" si="26"/>
        <v>#N/A</v>
      </c>
      <c r="X199" s="466">
        <f t="shared" si="27"/>
        <v>20.249430992026419</v>
      </c>
      <c r="Y199" s="466" t="e">
        <f t="shared" si="28"/>
        <v>#N/A</v>
      </c>
      <c r="AA199" s="35">
        <f t="shared" si="29"/>
        <v>208</v>
      </c>
      <c r="AB199" s="555">
        <f>[1]!srIx2Val(AC$6,AA199,1)</f>
        <v>175</v>
      </c>
      <c r="AC199" s="1001">
        <f>[1]!srIx2Val(AC$6,AA199,5)</f>
        <v>23370000</v>
      </c>
      <c r="AD199" s="1001">
        <f t="shared" si="30"/>
        <v>23360572.691946939</v>
      </c>
      <c r="AE199" s="465">
        <f>IF(AD199&lt;=0,0,[1]!srRng2E(AC$6,AD199))</f>
        <v>174.95791380333455</v>
      </c>
      <c r="AF199" s="466">
        <f t="shared" si="31"/>
        <v>4.2086196665451325E-2</v>
      </c>
      <c r="AG199" s="466" t="e">
        <f t="shared" si="32"/>
        <v>#N/A</v>
      </c>
      <c r="AH199" s="466">
        <f t="shared" si="33"/>
        <v>1.683447866618053</v>
      </c>
      <c r="AI199" s="466" t="e">
        <f t="shared" si="34"/>
        <v>#N/A</v>
      </c>
    </row>
    <row r="200" spans="17:35">
      <c r="Q200" s="35">
        <f t="shared" si="35"/>
        <v>209</v>
      </c>
      <c r="R200" s="555">
        <f>[1]!srIx2Val(S$6,Q200,1)</f>
        <v>189.39393939393941</v>
      </c>
      <c r="S200" s="1001">
        <f>[1]!srIx2Val(S$6,Q200,5)</f>
        <v>10740000</v>
      </c>
      <c r="T200" s="1001">
        <f t="shared" si="24"/>
        <v>10727121.361889072</v>
      </c>
      <c r="U200" s="465">
        <f>IF(T200&lt;=0,0,[1]!srRng2E(S$6,T200))</f>
        <v>189.25046080535955</v>
      </c>
      <c r="V200" s="482">
        <f t="shared" si="25"/>
        <v>0.14347858857985329</v>
      </c>
      <c r="W200" s="466" t="e">
        <f t="shared" si="26"/>
        <v>#N/A</v>
      </c>
      <c r="X200" s="466">
        <f t="shared" si="27"/>
        <v>18.939173692540635</v>
      </c>
      <c r="Y200" s="466" t="e">
        <f t="shared" si="28"/>
        <v>#N/A</v>
      </c>
      <c r="AA200" s="35">
        <f t="shared" si="29"/>
        <v>209</v>
      </c>
      <c r="AB200" s="555">
        <f>[1]!srIx2Val(AC$6,AA200,1)</f>
        <v>200</v>
      </c>
      <c r="AC200" s="1001">
        <f>[1]!srIx2Val(AC$6,AA200,5)</f>
        <v>29360000</v>
      </c>
      <c r="AD200" s="1001">
        <f t="shared" si="30"/>
        <v>29350572.691946939</v>
      </c>
      <c r="AE200" s="465">
        <f>IF(AD200&lt;=0,0,[1]!srRng2E(AC$6,AD200))</f>
        <v>199.96065397306737</v>
      </c>
      <c r="AF200" s="466">
        <f t="shared" si="31"/>
        <v>3.9346026932634004E-2</v>
      </c>
      <c r="AG200" s="466" t="e">
        <f t="shared" si="32"/>
        <v>#N/A</v>
      </c>
      <c r="AH200" s="466">
        <f t="shared" si="33"/>
        <v>1.5738410773053602</v>
      </c>
      <c r="AI200" s="466" t="e">
        <f t="shared" si="34"/>
        <v>#N/A</v>
      </c>
    </row>
    <row r="201" spans="17:35">
      <c r="Q201" s="35">
        <f t="shared" si="35"/>
        <v>210</v>
      </c>
      <c r="R201" s="555">
        <f>[1]!srIx2Val(S$6,Q201,1)</f>
        <v>208.33333333333334</v>
      </c>
      <c r="S201" s="1001">
        <f>[1]!srIx2Val(S$6,Q201,5)</f>
        <v>12550000</v>
      </c>
      <c r="T201" s="1001">
        <f t="shared" si="24"/>
        <v>12537121.361889072</v>
      </c>
      <c r="U201" s="465">
        <f>IF(T201&lt;=0,0,[1]!srRng2E(S$6,T201))</f>
        <v>208.1985744379821</v>
      </c>
      <c r="V201" s="482">
        <f t="shared" si="25"/>
        <v>0.13475889535123997</v>
      </c>
      <c r="W201" s="466" t="e">
        <f t="shared" si="26"/>
        <v>#N/A</v>
      </c>
      <c r="X201" s="466">
        <f t="shared" si="27"/>
        <v>17.788174186363676</v>
      </c>
      <c r="Y201" s="466" t="e">
        <f t="shared" si="28"/>
        <v>#N/A</v>
      </c>
      <c r="AA201" s="35">
        <f t="shared" si="29"/>
        <v>210</v>
      </c>
      <c r="AB201" s="555">
        <f>[1]!srIx2Val(AC$6,AA201,1)</f>
        <v>225</v>
      </c>
      <c r="AC201" s="1001">
        <f>[1]!srIx2Val(AC$6,AA201,5)</f>
        <v>35850000</v>
      </c>
      <c r="AD201" s="1001">
        <f t="shared" si="30"/>
        <v>35840572.691946939</v>
      </c>
      <c r="AE201" s="465">
        <f>IF(AD201&lt;=0,0,[1]!srRng2E(AC$6,AD201))</f>
        <v>224.9636852540329</v>
      </c>
      <c r="AF201" s="466">
        <f t="shared" si="31"/>
        <v>3.6314745967104045E-2</v>
      </c>
      <c r="AG201" s="466" t="e">
        <f t="shared" si="32"/>
        <v>#N/A</v>
      </c>
      <c r="AH201" s="466">
        <f t="shared" si="33"/>
        <v>1.4525898386841618</v>
      </c>
      <c r="AI201" s="466" t="e">
        <f t="shared" si="34"/>
        <v>#N/A</v>
      </c>
    </row>
    <row r="202" spans="17:35">
      <c r="Q202" s="35">
        <f t="shared" si="35"/>
        <v>211</v>
      </c>
      <c r="R202" s="555">
        <f>[1]!srIx2Val(S$6,Q202,1)</f>
        <v>227.27272727272728</v>
      </c>
      <c r="S202" s="1001">
        <f>[1]!srIx2Val(S$6,Q202,5)</f>
        <v>14460000</v>
      </c>
      <c r="T202" s="1001">
        <f t="shared" si="24"/>
        <v>14447121.361889072</v>
      </c>
      <c r="U202" s="465">
        <f>IF(T202&lt;=0,0,[1]!srRng2E(S$6,T202))</f>
        <v>227.14502381692321</v>
      </c>
      <c r="V202" s="482">
        <f t="shared" si="25"/>
        <v>0.12770345580406683</v>
      </c>
      <c r="W202" s="466" t="e">
        <f t="shared" si="26"/>
        <v>#N/A</v>
      </c>
      <c r="X202" s="466">
        <f t="shared" si="27"/>
        <v>16.856856166136822</v>
      </c>
      <c r="Y202" s="466" t="e">
        <f t="shared" si="28"/>
        <v>#N/A</v>
      </c>
      <c r="AA202" s="35">
        <f t="shared" si="29"/>
        <v>211</v>
      </c>
      <c r="AB202" s="555">
        <f>[1]!srIx2Val(AC$6,AA202,1)</f>
        <v>250</v>
      </c>
      <c r="AC202" s="1001">
        <f>[1]!srIx2Val(AC$6,AA202,5)</f>
        <v>42810000</v>
      </c>
      <c r="AD202" s="1001">
        <f t="shared" si="30"/>
        <v>42800572.691946939</v>
      </c>
      <c r="AE202" s="465">
        <f>IF(AD202&lt;=0,0,[1]!srRng2E(AC$6,AD202))</f>
        <v>249.96613754291286</v>
      </c>
      <c r="AF202" s="466">
        <f t="shared" si="31"/>
        <v>3.3862457087138864E-2</v>
      </c>
      <c r="AG202" s="466" t="e">
        <f t="shared" si="32"/>
        <v>#N/A</v>
      </c>
      <c r="AH202" s="466">
        <f t="shared" si="33"/>
        <v>1.3544982834855546</v>
      </c>
      <c r="AI202" s="466" t="e">
        <f t="shared" si="34"/>
        <v>#N/A</v>
      </c>
    </row>
    <row r="203" spans="17:35">
      <c r="Q203" s="35">
        <f t="shared" si="35"/>
        <v>212</v>
      </c>
      <c r="R203" s="555">
        <f>[1]!srIx2Val(S$6,Q203,1)</f>
        <v>246.21212121212122</v>
      </c>
      <c r="S203" s="1001">
        <f>[1]!srIx2Val(S$6,Q203,5)</f>
        <v>16469999.999999998</v>
      </c>
      <c r="T203" s="1001">
        <f t="shared" ref="T203:T219" si="36">S203-T$10</f>
        <v>16457121.36188907</v>
      </c>
      <c r="U203" s="465">
        <f>IF(T203&lt;=0,0,[1]!srRng2E(S$6,T203))</f>
        <v>246.09077116207854</v>
      </c>
      <c r="V203" s="482">
        <f t="shared" si="25"/>
        <v>0.12135005004267896</v>
      </c>
      <c r="W203" s="466" t="e">
        <f t="shared" si="26"/>
        <v>#N/A</v>
      </c>
      <c r="X203" s="466">
        <f t="shared" si="27"/>
        <v>16.018206605633623</v>
      </c>
      <c r="Y203" s="466" t="e">
        <f t="shared" si="28"/>
        <v>#N/A</v>
      </c>
      <c r="AA203" s="35">
        <f t="shared" si="29"/>
        <v>212</v>
      </c>
      <c r="AB203" s="555">
        <f>[1]!srIx2Val(AC$6,AA203,1)</f>
        <v>275</v>
      </c>
      <c r="AC203" s="1001">
        <f>[1]!srIx2Val(AC$6,AA203,5)</f>
        <v>50210000</v>
      </c>
      <c r="AD203" s="1001">
        <f t="shared" si="30"/>
        <v>50200572.691946939</v>
      </c>
      <c r="AE203" s="465">
        <f>IF(AD203&lt;=0,0,[1]!srRng2E(AC$6,AD203))</f>
        <v>274.96815098630725</v>
      </c>
      <c r="AF203" s="466">
        <f t="shared" si="31"/>
        <v>3.1849013692749395E-2</v>
      </c>
      <c r="AG203" s="466" t="e">
        <f t="shared" si="32"/>
        <v>#N/A</v>
      </c>
      <c r="AH203" s="466">
        <f t="shared" si="33"/>
        <v>1.2739605477099758</v>
      </c>
      <c r="AI203" s="466" t="e">
        <f t="shared" si="34"/>
        <v>#N/A</v>
      </c>
    </row>
    <row r="204" spans="17:35">
      <c r="Q204" s="35">
        <f t="shared" si="35"/>
        <v>213</v>
      </c>
      <c r="R204" s="555">
        <f>[1]!srIx2Val(S$6,Q204,1)</f>
        <v>265.15151515151513</v>
      </c>
      <c r="S204" s="1001">
        <f>[1]!srIx2Val(S$6,Q204,5)</f>
        <v>18570000</v>
      </c>
      <c r="T204" s="1001">
        <f t="shared" si="36"/>
        <v>18557121.361889072</v>
      </c>
      <c r="U204" s="465">
        <f>IF(T204&lt;=0,0,[1]!srRng2E(S$6,T204))</f>
        <v>265.03536581790286</v>
      </c>
      <c r="V204" s="482">
        <f t="shared" ref="V204:V219" si="37">IF((T204&lt;=0),NA(),R204-U204)</f>
        <v>0.11614933361227031</v>
      </c>
      <c r="W204" s="466" t="e">
        <f t="shared" ref="W204:W219" si="38">IF((T204&lt;=0),R204-U204,NA())</f>
        <v>#N/A</v>
      </c>
      <c r="X204" s="466">
        <f t="shared" ref="X204:X219" si="39">IF((T204&lt;0),NA(),V204*X$6)</f>
        <v>15.331712036819681</v>
      </c>
      <c r="Y204" s="466" t="e">
        <f t="shared" ref="Y204:Y219" si="40">IF((T204&lt;0),W204*X$6,NA())</f>
        <v>#N/A</v>
      </c>
      <c r="AA204" s="35">
        <f t="shared" ref="AA204:AA219" si="41">AA203+1</f>
        <v>213</v>
      </c>
      <c r="AB204" s="555">
        <f>[1]!srIx2Val(AC$6,AA204,1)</f>
        <v>300</v>
      </c>
      <c r="AC204" s="1001">
        <f>[1]!srIx2Val(AC$6,AA204,5)</f>
        <v>58000000</v>
      </c>
      <c r="AD204" s="1001">
        <f t="shared" ref="AD204:AD219" si="42">AC204-AD$10</f>
        <v>57990572.691946939</v>
      </c>
      <c r="AE204" s="465">
        <f>IF(AD204&lt;=0,0,[1]!srRng2E(AC$6,AD204))</f>
        <v>299.96974548121608</v>
      </c>
      <c r="AF204" s="466">
        <f t="shared" ref="AF204:AF219" si="43">IF((AD204&lt;=0),NA(),AB204-AE204)</f>
        <v>3.0254518783920048E-2</v>
      </c>
      <c r="AG204" s="466" t="e">
        <f t="shared" ref="AG204:AG219" si="44">IF((AD204&lt;=0),AB204-AE204,NA())</f>
        <v>#N/A</v>
      </c>
      <c r="AH204" s="466">
        <f t="shared" ref="AH204:AH219" si="45">IF((AD204&lt;0),NA(),AF204*AH$6)</f>
        <v>1.2101807513568019</v>
      </c>
      <c r="AI204" s="466" t="e">
        <f t="shared" ref="AI204:AI219" si="46">IF((AD204&lt;0),AG204*AH$6,NA())</f>
        <v>#N/A</v>
      </c>
    </row>
    <row r="205" spans="17:35">
      <c r="Q205" s="35">
        <f t="shared" ref="Q205:Q219" si="47">Q204+1</f>
        <v>214</v>
      </c>
      <c r="R205" s="555">
        <f>[1]!srIx2Val(S$6,Q205,1)</f>
        <v>284.09090909090907</v>
      </c>
      <c r="S205" s="1001">
        <f>[1]!srIx2Val(S$6,Q205,5)</f>
        <v>20760000</v>
      </c>
      <c r="T205" s="1001">
        <f t="shared" si="36"/>
        <v>20747121.361889072</v>
      </c>
      <c r="U205" s="465">
        <f>IF(T205&lt;=0,0,[1]!srRng2E(S$6,T205))</f>
        <v>283.97953301758224</v>
      </c>
      <c r="V205" s="482">
        <f t="shared" si="37"/>
        <v>0.11137607332682364</v>
      </c>
      <c r="W205" s="466" t="e">
        <f t="shared" si="38"/>
        <v>#N/A</v>
      </c>
      <c r="X205" s="466">
        <f t="shared" si="39"/>
        <v>14.701641679140721</v>
      </c>
      <c r="Y205" s="466" t="e">
        <f t="shared" si="40"/>
        <v>#N/A</v>
      </c>
      <c r="AA205" s="35">
        <f t="shared" si="41"/>
        <v>214</v>
      </c>
      <c r="AB205" s="555">
        <f>[1]!srIx2Val(AC$6,AA205,1)</f>
        <v>325</v>
      </c>
      <c r="AC205" s="1001">
        <f>[1]!srIx2Val(AC$6,AA205,5)</f>
        <v>66160000</v>
      </c>
      <c r="AD205" s="1001">
        <f t="shared" si="42"/>
        <v>66150572.691946939</v>
      </c>
      <c r="AE205" s="465">
        <f>IF(AD205&lt;=0,0,[1]!srRng2E(AC$6,AD205))</f>
        <v>324.97111731601393</v>
      </c>
      <c r="AF205" s="466">
        <f t="shared" si="43"/>
        <v>2.8882683986068969E-2</v>
      </c>
      <c r="AG205" s="466" t="e">
        <f t="shared" si="44"/>
        <v>#N/A</v>
      </c>
      <c r="AH205" s="466">
        <f t="shared" si="45"/>
        <v>1.1553073594427588</v>
      </c>
      <c r="AI205" s="466" t="e">
        <f t="shared" si="46"/>
        <v>#N/A</v>
      </c>
    </row>
    <row r="206" spans="17:35">
      <c r="Q206" s="35">
        <f t="shared" si="47"/>
        <v>215</v>
      </c>
      <c r="R206" s="555">
        <f>[1]!srIx2Val(S$6,Q206,1)</f>
        <v>303.030303030303</v>
      </c>
      <c r="S206" s="1001">
        <f>[1]!srIx2Val(S$6,Q206,5)</f>
        <v>23030000</v>
      </c>
      <c r="T206" s="1001">
        <f t="shared" si="36"/>
        <v>23017121.361889072</v>
      </c>
      <c r="U206" s="465">
        <f>IF(T206&lt;=0,0,[1]!srRng2E(S$6,T206))</f>
        <v>302.9228521049348</v>
      </c>
      <c r="V206" s="482">
        <f t="shared" si="37"/>
        <v>0.10745092536819811</v>
      </c>
      <c r="W206" s="466" t="e">
        <f t="shared" si="38"/>
        <v>#N/A</v>
      </c>
      <c r="X206" s="466">
        <f t="shared" si="39"/>
        <v>14.183522148602151</v>
      </c>
      <c r="Y206" s="466" t="e">
        <f t="shared" si="40"/>
        <v>#N/A</v>
      </c>
      <c r="AA206" s="35">
        <f t="shared" si="41"/>
        <v>215</v>
      </c>
      <c r="AB206" s="555">
        <f>[1]!srIx2Val(AC$6,AA206,1)</f>
        <v>350</v>
      </c>
      <c r="AC206" s="1001">
        <f>[1]!srIx2Val(AC$6,AA206,5)</f>
        <v>74670000</v>
      </c>
      <c r="AD206" s="1001">
        <f t="shared" si="42"/>
        <v>74660572.691946939</v>
      </c>
      <c r="AE206" s="465">
        <f>IF(AD206&lt;=0,0,[1]!srRng2E(AC$6,AD206))</f>
        <v>349.97230520548453</v>
      </c>
      <c r="AF206" s="466">
        <f t="shared" si="43"/>
        <v>2.7694794515468857E-2</v>
      </c>
      <c r="AG206" s="466" t="e">
        <f t="shared" si="44"/>
        <v>#N/A</v>
      </c>
      <c r="AH206" s="466">
        <f t="shared" si="45"/>
        <v>1.1077917806187543</v>
      </c>
      <c r="AI206" s="466" t="e">
        <f t="shared" si="46"/>
        <v>#N/A</v>
      </c>
    </row>
    <row r="207" spans="17:35">
      <c r="Q207" s="35">
        <f t="shared" si="47"/>
        <v>216</v>
      </c>
      <c r="R207" s="555">
        <f>[1]!srIx2Val(S$6,Q207,1)</f>
        <v>340.90909090909093</v>
      </c>
      <c r="S207" s="1001">
        <f>[1]!srIx2Val(S$6,Q207,5)</f>
        <v>27790000</v>
      </c>
      <c r="T207" s="1001">
        <f t="shared" si="36"/>
        <v>27777121.361889072</v>
      </c>
      <c r="U207" s="465">
        <f>IF(T207&lt;=0,0,[1]!srRng2E(S$6,T207))</f>
        <v>340.80660620296248</v>
      </c>
      <c r="V207" s="482">
        <f t="shared" si="37"/>
        <v>0.1024847061284504</v>
      </c>
      <c r="W207" s="466" t="e">
        <f t="shared" si="38"/>
        <v>#N/A</v>
      </c>
      <c r="X207" s="466">
        <f t="shared" si="39"/>
        <v>13.527981208955453</v>
      </c>
      <c r="Y207" s="466" t="e">
        <f t="shared" si="40"/>
        <v>#N/A</v>
      </c>
      <c r="AA207" s="35">
        <f t="shared" si="41"/>
        <v>216</v>
      </c>
      <c r="AB207" s="555">
        <f>[1]!srIx2Val(AC$6,AA207,1)</f>
        <v>375</v>
      </c>
      <c r="AC207" s="1001">
        <f>[1]!srIx2Val(AC$6,AA207,5)</f>
        <v>83510000</v>
      </c>
      <c r="AD207" s="1001">
        <f t="shared" si="42"/>
        <v>83500572.691946939</v>
      </c>
      <c r="AE207" s="465">
        <f>IF(AD207&lt;=0,0,[1]!srRng2E(AC$6,AD207))</f>
        <v>374.97333906093593</v>
      </c>
      <c r="AF207" s="466">
        <f t="shared" si="43"/>
        <v>2.6660939064072409E-2</v>
      </c>
      <c r="AG207" s="466" t="e">
        <f t="shared" si="44"/>
        <v>#N/A</v>
      </c>
      <c r="AH207" s="466">
        <f t="shared" si="45"/>
        <v>1.0664375625628963</v>
      </c>
      <c r="AI207" s="466" t="e">
        <f t="shared" si="46"/>
        <v>#N/A</v>
      </c>
    </row>
    <row r="208" spans="17:35">
      <c r="Q208" s="35">
        <f t="shared" si="47"/>
        <v>217</v>
      </c>
      <c r="R208" s="555">
        <f>[1]!srIx2Val(S$6,Q208,1)</f>
        <v>378.78787878787881</v>
      </c>
      <c r="S208" s="1001">
        <f>[1]!srIx2Val(S$6,Q208,5)</f>
        <v>32830000</v>
      </c>
      <c r="T208" s="1001">
        <f t="shared" si="36"/>
        <v>32817121.361889072</v>
      </c>
      <c r="U208" s="465">
        <f>IF(T208&lt;=0,0,[1]!srRng2E(S$6,T208))</f>
        <v>378.69108767653523</v>
      </c>
      <c r="V208" s="482">
        <f t="shared" si="37"/>
        <v>9.6791111343577541E-2</v>
      </c>
      <c r="W208" s="466" t="e">
        <f t="shared" si="38"/>
        <v>#N/A</v>
      </c>
      <c r="X208" s="466">
        <f t="shared" si="39"/>
        <v>12.776426697352235</v>
      </c>
      <c r="Y208" s="466" t="e">
        <f t="shared" si="40"/>
        <v>#N/A</v>
      </c>
      <c r="AA208" s="35">
        <f t="shared" si="41"/>
        <v>217</v>
      </c>
      <c r="AB208" s="555">
        <f>[1]!srIx2Val(AC$6,AA208,1)</f>
        <v>400</v>
      </c>
      <c r="AC208" s="1001">
        <f>[1]!srIx2Val(AC$6,AA208,5)</f>
        <v>92640000</v>
      </c>
      <c r="AD208" s="1001">
        <f t="shared" si="42"/>
        <v>92630572.691946939</v>
      </c>
      <c r="AE208" s="465">
        <f>IF(AD208&lt;=0,0,[1]!srRng2E(AC$6,AD208))</f>
        <v>399.97418590346916</v>
      </c>
      <c r="AF208" s="466">
        <f t="shared" si="43"/>
        <v>2.5814096530837105E-2</v>
      </c>
      <c r="AG208" s="466" t="e">
        <f t="shared" si="44"/>
        <v>#N/A</v>
      </c>
      <c r="AH208" s="466">
        <f t="shared" si="45"/>
        <v>1.0325638612334842</v>
      </c>
      <c r="AI208" s="466" t="e">
        <f t="shared" si="46"/>
        <v>#N/A</v>
      </c>
    </row>
    <row r="209" spans="17:35">
      <c r="Q209" s="35">
        <f t="shared" si="47"/>
        <v>218</v>
      </c>
      <c r="R209" s="555">
        <f>[1]!srIx2Val(S$6,Q209,1)</f>
        <v>416.66666666666669</v>
      </c>
      <c r="S209" s="1001">
        <f>[1]!srIx2Val(S$6,Q209,5)</f>
        <v>38110000</v>
      </c>
      <c r="T209" s="1001">
        <f t="shared" si="36"/>
        <v>38097121.361889072</v>
      </c>
      <c r="U209" s="465">
        <f>IF(T209&lt;=0,0,[1]!srRng2E(S$6,T209))</f>
        <v>416.57427515129331</v>
      </c>
      <c r="V209" s="482">
        <f t="shared" si="37"/>
        <v>9.2391515373378752E-2</v>
      </c>
      <c r="W209" s="466" t="e">
        <f t="shared" si="38"/>
        <v>#N/A</v>
      </c>
      <c r="X209" s="466">
        <f t="shared" si="39"/>
        <v>12.195680029285995</v>
      </c>
      <c r="Y209" s="466" t="e">
        <f t="shared" si="40"/>
        <v>#N/A</v>
      </c>
      <c r="AA209" s="35">
        <f t="shared" si="41"/>
        <v>218</v>
      </c>
      <c r="AB209" s="555">
        <f>[1]!srIx2Val(AC$6,AA209,1)</f>
        <v>425</v>
      </c>
      <c r="AC209" s="1001">
        <f>[1]!srIx2Val(AC$6,AA209,5)</f>
        <v>102050000</v>
      </c>
      <c r="AD209" s="1001">
        <f t="shared" si="42"/>
        <v>102040572.69194694</v>
      </c>
      <c r="AE209" s="465">
        <f>IF(AD209&lt;=0,0,[1]!srRng2E(AC$6,AD209))</f>
        <v>424.97495401686223</v>
      </c>
      <c r="AF209" s="466">
        <f t="shared" si="43"/>
        <v>2.504598313777251E-2</v>
      </c>
      <c r="AG209" s="466" t="e">
        <f t="shared" si="44"/>
        <v>#N/A</v>
      </c>
      <c r="AH209" s="466">
        <f t="shared" si="45"/>
        <v>1.0018393255109004</v>
      </c>
      <c r="AI209" s="466" t="e">
        <f t="shared" si="46"/>
        <v>#N/A</v>
      </c>
    </row>
    <row r="210" spans="17:35">
      <c r="Q210" s="35">
        <f t="shared" si="47"/>
        <v>219</v>
      </c>
      <c r="R210" s="555">
        <f>[1]!srIx2Val(S$6,Q210,1)</f>
        <v>454.54545454545456</v>
      </c>
      <c r="S210" s="1001">
        <f>[1]!srIx2Val(S$6,Q210,5)</f>
        <v>43620000</v>
      </c>
      <c r="T210" s="1001">
        <f t="shared" si="36"/>
        <v>43607121.361889072</v>
      </c>
      <c r="U210" s="465">
        <f>IF(T210&lt;=0,0,[1]!srRng2E(S$6,T210))</f>
        <v>454.45691966320925</v>
      </c>
      <c r="V210" s="482">
        <f t="shared" si="37"/>
        <v>8.8534882245312474E-2</v>
      </c>
      <c r="W210" s="466" t="e">
        <f t="shared" si="38"/>
        <v>#N/A</v>
      </c>
      <c r="X210" s="466">
        <f t="shared" si="39"/>
        <v>11.686604456381247</v>
      </c>
      <c r="Y210" s="466" t="e">
        <f t="shared" si="40"/>
        <v>#N/A</v>
      </c>
      <c r="AA210" s="35">
        <f t="shared" si="41"/>
        <v>219</v>
      </c>
      <c r="AB210" s="555">
        <f>[1]!srIx2Val(AC$6,AA210,1)</f>
        <v>450</v>
      </c>
      <c r="AC210" s="1001">
        <f>[1]!srIx2Val(AC$6,AA210,5)</f>
        <v>111720000</v>
      </c>
      <c r="AD210" s="1001">
        <f t="shared" si="42"/>
        <v>111710572.69194694</v>
      </c>
      <c r="AE210" s="465">
        <f>IF(AD210&lt;=0,0,[1]!srRng2E(AC$6,AD210))</f>
        <v>449.97562743522991</v>
      </c>
      <c r="AF210" s="466">
        <f t="shared" si="43"/>
        <v>2.4372564770089866E-2</v>
      </c>
      <c r="AG210" s="466" t="e">
        <f t="shared" si="44"/>
        <v>#N/A</v>
      </c>
      <c r="AH210" s="466">
        <f t="shared" si="45"/>
        <v>0.97490259080359465</v>
      </c>
      <c r="AI210" s="466" t="e">
        <f t="shared" si="46"/>
        <v>#N/A</v>
      </c>
    </row>
    <row r="211" spans="17:35">
      <c r="Q211" s="35">
        <f t="shared" si="47"/>
        <v>220</v>
      </c>
      <c r="R211" s="555">
        <f>[1]!srIx2Val(S$6,Q211,1)</f>
        <v>492.42424242424244</v>
      </c>
      <c r="S211" s="1001">
        <f>[1]!srIx2Val(S$6,Q211,5)</f>
        <v>49330000</v>
      </c>
      <c r="T211" s="1001">
        <f t="shared" si="36"/>
        <v>49317121.361889072</v>
      </c>
      <c r="U211" s="465">
        <f>IF(T211&lt;=0,0,[1]!srRng2E(S$6,T211))</f>
        <v>492.33880858866075</v>
      </c>
      <c r="V211" s="482">
        <f t="shared" si="37"/>
        <v>8.543383558168216E-2</v>
      </c>
      <c r="W211" s="466" t="e">
        <f t="shared" si="38"/>
        <v>#N/A</v>
      </c>
      <c r="X211" s="466">
        <f t="shared" si="39"/>
        <v>11.277266296782045</v>
      </c>
      <c r="Y211" s="466" t="e">
        <f t="shared" si="40"/>
        <v>#N/A</v>
      </c>
      <c r="AA211" s="35">
        <f t="shared" si="41"/>
        <v>220</v>
      </c>
      <c r="AB211" s="555">
        <f>[1]!srIx2Val(AC$6,AA211,1)</f>
        <v>500</v>
      </c>
      <c r="AC211" s="1001">
        <f>[1]!srIx2Val(AC$6,AA211,5)</f>
        <v>131780000</v>
      </c>
      <c r="AD211" s="1001">
        <f t="shared" si="42"/>
        <v>131770572.69194694</v>
      </c>
      <c r="AE211" s="465">
        <f>IF(AD211&lt;=0,0,[1]!srRng2E(AC$6,AD211))</f>
        <v>499.97650222319777</v>
      </c>
      <c r="AF211" s="466">
        <f t="shared" si="43"/>
        <v>2.3497776802230419E-2</v>
      </c>
      <c r="AG211" s="466" t="e">
        <f t="shared" si="44"/>
        <v>#N/A</v>
      </c>
      <c r="AH211" s="466">
        <f t="shared" si="45"/>
        <v>0.93991107208921676</v>
      </c>
      <c r="AI211" s="466" t="e">
        <f t="shared" si="46"/>
        <v>#N/A</v>
      </c>
    </row>
    <row r="212" spans="17:35">
      <c r="Q212" s="35">
        <f t="shared" si="47"/>
        <v>221</v>
      </c>
      <c r="R212" s="555">
        <f>[1]!srIx2Val(S$6,Q212,1)</f>
        <v>530.30303030303025</v>
      </c>
      <c r="S212" s="1001">
        <f>[1]!srIx2Val(S$6,Q212,5)</f>
        <v>55230000</v>
      </c>
      <c r="T212" s="1001">
        <f t="shared" si="36"/>
        <v>55217121.361889072</v>
      </c>
      <c r="U212" s="465">
        <f>IF(T212&lt;=0,0,[1]!srRng2E(S$6,T212))</f>
        <v>530.22034772656048</v>
      </c>
      <c r="V212" s="482">
        <f t="shared" si="37"/>
        <v>8.2682576469778724E-2</v>
      </c>
      <c r="W212" s="466" t="e">
        <f t="shared" si="38"/>
        <v>#N/A</v>
      </c>
      <c r="X212" s="466">
        <f t="shared" si="39"/>
        <v>10.914100094010792</v>
      </c>
      <c r="Y212" s="466" t="e">
        <f t="shared" si="40"/>
        <v>#N/A</v>
      </c>
      <c r="AA212" s="35">
        <f t="shared" si="41"/>
        <v>221</v>
      </c>
      <c r="AB212" s="555">
        <f>[1]!srIx2Val(AC$6,AA212,1)</f>
        <v>562.5</v>
      </c>
      <c r="AC212" s="1001">
        <f>[1]!srIx2Val(AC$6,AA212,5)</f>
        <v>158040000</v>
      </c>
      <c r="AD212" s="1001">
        <f t="shared" si="42"/>
        <v>158030572.69194692</v>
      </c>
      <c r="AE212" s="465">
        <f>IF(AD212&lt;=0,0,[1]!srRng2E(AC$6,AD212))</f>
        <v>562.4775625760351</v>
      </c>
      <c r="AF212" s="466">
        <f t="shared" si="43"/>
        <v>2.2437423964902337E-2</v>
      </c>
      <c r="AG212" s="466" t="e">
        <f t="shared" si="44"/>
        <v>#N/A</v>
      </c>
      <c r="AH212" s="466">
        <f t="shared" si="45"/>
        <v>0.89749695859609346</v>
      </c>
      <c r="AI212" s="466" t="e">
        <f t="shared" si="46"/>
        <v>#N/A</v>
      </c>
    </row>
    <row r="213" spans="17:35">
      <c r="Q213" s="35">
        <f t="shared" si="47"/>
        <v>222</v>
      </c>
      <c r="R213" s="555">
        <f>[1]!srIx2Val(S$6,Q213,1)</f>
        <v>606.06060606060601</v>
      </c>
      <c r="S213" s="1001">
        <f>[1]!srIx2Val(S$6,Q213,5)</f>
        <v>67480000</v>
      </c>
      <c r="T213" s="1001">
        <f t="shared" si="36"/>
        <v>67467121.361889079</v>
      </c>
      <c r="U213" s="465">
        <f>IF(T213&lt;=0,0,[1]!srRng2E(S$6,T213))</f>
        <v>605.98096080327196</v>
      </c>
      <c r="V213" s="482">
        <f t="shared" si="37"/>
        <v>7.9645257334050257E-2</v>
      </c>
      <c r="W213" s="466" t="e">
        <f t="shared" si="38"/>
        <v>#N/A</v>
      </c>
      <c r="X213" s="466">
        <f t="shared" si="39"/>
        <v>10.513173968094634</v>
      </c>
      <c r="Y213" s="466" t="e">
        <f t="shared" si="40"/>
        <v>#N/A</v>
      </c>
      <c r="AA213" s="35">
        <f t="shared" si="41"/>
        <v>222</v>
      </c>
      <c r="AB213" s="555">
        <f>[1]!srIx2Val(AC$6,AA213,1)</f>
        <v>625</v>
      </c>
      <c r="AC213" s="1001">
        <f>[1]!srIx2Val(AC$6,AA213,5)</f>
        <v>185440000</v>
      </c>
      <c r="AD213" s="1001">
        <f t="shared" si="42"/>
        <v>185430572.69194692</v>
      </c>
      <c r="AE213" s="465">
        <f>IF(AD213&lt;=0,0,[1]!srRng2E(AC$6,AD213))</f>
        <v>624.97849610389358</v>
      </c>
      <c r="AF213" s="466">
        <f t="shared" si="43"/>
        <v>2.1503896106423781E-2</v>
      </c>
      <c r="AG213" s="466" t="e">
        <f t="shared" si="44"/>
        <v>#N/A</v>
      </c>
      <c r="AH213" s="466">
        <f t="shared" si="45"/>
        <v>0.86015584425695124</v>
      </c>
      <c r="AI213" s="466" t="e">
        <f t="shared" si="46"/>
        <v>#N/A</v>
      </c>
    </row>
    <row r="214" spans="17:35">
      <c r="Q214" s="35">
        <f t="shared" si="47"/>
        <v>223</v>
      </c>
      <c r="R214" s="555">
        <f>[1]!srIx2Val(S$6,Q214,1)</f>
        <v>681.81818181818187</v>
      </c>
      <c r="S214" s="1001">
        <f>[1]!srIx2Val(S$6,Q214,5)</f>
        <v>80290000</v>
      </c>
      <c r="T214" s="1001">
        <f t="shared" si="36"/>
        <v>80277121.361889079</v>
      </c>
      <c r="U214" s="465">
        <f>IF(T214&lt;=0,0,[1]!srRng2E(S$6,T214))</f>
        <v>681.74201832073129</v>
      </c>
      <c r="V214" s="482">
        <f t="shared" si="37"/>
        <v>7.6163497450579598E-2</v>
      </c>
      <c r="W214" s="466" t="e">
        <f t="shared" si="38"/>
        <v>#N/A</v>
      </c>
      <c r="X214" s="466">
        <f t="shared" si="39"/>
        <v>10.053581663476507</v>
      </c>
      <c r="Y214" s="466" t="e">
        <f t="shared" si="40"/>
        <v>#N/A</v>
      </c>
      <c r="AA214" s="35">
        <f t="shared" si="41"/>
        <v>223</v>
      </c>
      <c r="AB214" s="555">
        <f>[1]!srIx2Val(AC$6,AA214,1)</f>
        <v>687.5</v>
      </c>
      <c r="AC214" s="1001">
        <f>[1]!srIx2Val(AC$6,AA214,5)</f>
        <v>213830000</v>
      </c>
      <c r="AD214" s="1001">
        <f t="shared" si="42"/>
        <v>213820572.69194692</v>
      </c>
      <c r="AE214" s="465">
        <f>IF(AD214&lt;=0,0,[1]!srRng2E(AC$6,AD214))</f>
        <v>687.47924597557881</v>
      </c>
      <c r="AF214" s="466">
        <f t="shared" si="43"/>
        <v>2.0754024421194117E-2</v>
      </c>
      <c r="AG214" s="466" t="e">
        <f t="shared" si="44"/>
        <v>#N/A</v>
      </c>
      <c r="AH214" s="466">
        <f t="shared" si="45"/>
        <v>0.83016097684776469</v>
      </c>
      <c r="AI214" s="466" t="e">
        <f t="shared" si="46"/>
        <v>#N/A</v>
      </c>
    </row>
    <row r="215" spans="17:35">
      <c r="Q215" s="35">
        <f t="shared" si="47"/>
        <v>224</v>
      </c>
      <c r="R215" s="555">
        <f>[1]!srIx2Val(S$6,Q215,1)</f>
        <v>757.57575757575762</v>
      </c>
      <c r="S215" s="1001">
        <f>[1]!srIx2Val(S$6,Q215,5)</f>
        <v>93550000</v>
      </c>
      <c r="T215" s="1001">
        <f t="shared" si="36"/>
        <v>93537121.361889079</v>
      </c>
      <c r="U215" s="465">
        <f>IF(T215&lt;=0,0,[1]!srRng2E(S$6,T215))</f>
        <v>757.50217881238336</v>
      </c>
      <c r="V215" s="482">
        <f t="shared" si="37"/>
        <v>7.3578763374257505E-2</v>
      </c>
      <c r="W215" s="466" t="e">
        <f t="shared" si="38"/>
        <v>#N/A</v>
      </c>
      <c r="X215" s="466">
        <f t="shared" si="39"/>
        <v>9.7123967654019907</v>
      </c>
      <c r="Y215" s="466" t="e">
        <f t="shared" si="40"/>
        <v>#N/A</v>
      </c>
      <c r="AA215" s="35">
        <f t="shared" si="41"/>
        <v>224</v>
      </c>
      <c r="AB215" s="555">
        <f>[1]!srIx2Val(AC$6,AA215,1)</f>
        <v>750</v>
      </c>
      <c r="AC215" s="1001">
        <f>[1]!srIx2Val(AC$6,AA215,5)</f>
        <v>243070000</v>
      </c>
      <c r="AD215" s="1001">
        <f t="shared" si="42"/>
        <v>243060572.69194692</v>
      </c>
      <c r="AE215" s="465">
        <f>IF(AD215&lt;=0,0,[1]!srRng2E(AC$6,AD215))</f>
        <v>749.97984929024221</v>
      </c>
      <c r="AF215" s="466">
        <f t="shared" si="43"/>
        <v>2.0150709757785989E-2</v>
      </c>
      <c r="AG215" s="466" t="e">
        <f t="shared" si="44"/>
        <v>#N/A</v>
      </c>
      <c r="AH215" s="466">
        <f t="shared" si="45"/>
        <v>0.80602839031143958</v>
      </c>
      <c r="AI215" s="466" t="e">
        <f t="shared" si="46"/>
        <v>#N/A</v>
      </c>
    </row>
    <row r="216" spans="17:35">
      <c r="Q216" s="35">
        <f t="shared" si="47"/>
        <v>225</v>
      </c>
      <c r="R216" s="555">
        <f>[1]!srIx2Val(S$6,Q216,1)</f>
        <v>833.33333333333337</v>
      </c>
      <c r="S216" s="1001">
        <f>[1]!srIx2Val(S$6,Q216,5)</f>
        <v>107190000</v>
      </c>
      <c r="T216" s="1001">
        <f t="shared" si="36"/>
        <v>107177121.36188908</v>
      </c>
      <c r="U216" s="465">
        <f>IF(T216&lt;=0,0,[1]!srRng2E(S$6,T216))</f>
        <v>833.26180441820566</v>
      </c>
      <c r="V216" s="482">
        <f t="shared" si="37"/>
        <v>7.1528915127714754E-2</v>
      </c>
      <c r="W216" s="466" t="e">
        <f t="shared" si="38"/>
        <v>#N/A</v>
      </c>
      <c r="X216" s="466">
        <f t="shared" si="39"/>
        <v>9.4418167968583475</v>
      </c>
      <c r="Y216" s="466" t="e">
        <f t="shared" si="40"/>
        <v>#N/A</v>
      </c>
      <c r="AA216" s="35">
        <f t="shared" si="41"/>
        <v>225</v>
      </c>
      <c r="AB216" s="555">
        <f>[1]!srIx2Val(AC$6,AA216,1)</f>
        <v>812.5</v>
      </c>
      <c r="AC216" s="1001">
        <f>[1]!srIx2Val(AC$6,AA216,5)</f>
        <v>273030000</v>
      </c>
      <c r="AD216" s="1001">
        <f t="shared" si="42"/>
        <v>273020572.69194692</v>
      </c>
      <c r="AE216" s="465">
        <f>IF(AD216&lt;=0,0,[1]!srRng2E(AC$6,AD216))</f>
        <v>812.48033355296002</v>
      </c>
      <c r="AF216" s="466">
        <f t="shared" si="43"/>
        <v>1.9666447039980994E-2</v>
      </c>
      <c r="AG216" s="466" t="e">
        <f t="shared" si="44"/>
        <v>#N/A</v>
      </c>
      <c r="AH216" s="466">
        <f t="shared" si="45"/>
        <v>0.78665788159923977</v>
      </c>
      <c r="AI216" s="466" t="e">
        <f t="shared" si="46"/>
        <v>#N/A</v>
      </c>
    </row>
    <row r="217" spans="17:35">
      <c r="Q217" s="35">
        <f t="shared" si="47"/>
        <v>226</v>
      </c>
      <c r="R217" s="555">
        <f>[1]!srIx2Val(S$6,Q217,1)</f>
        <v>909.09090909090912</v>
      </c>
      <c r="S217" s="1001">
        <f>[1]!srIx2Val(S$6,Q217,5)</f>
        <v>121150000</v>
      </c>
      <c r="T217" s="1001">
        <f t="shared" si="36"/>
        <v>121137121.36188908</v>
      </c>
      <c r="U217" s="465">
        <f>IF(T217&lt;=0,0,[1]!srRng2E(S$6,T217))</f>
        <v>909.02101980707369</v>
      </c>
      <c r="V217" s="482">
        <f t="shared" si="37"/>
        <v>6.98892838354368E-2</v>
      </c>
      <c r="W217" s="466" t="e">
        <f t="shared" si="38"/>
        <v>#N/A</v>
      </c>
      <c r="X217" s="466">
        <f t="shared" si="39"/>
        <v>9.2253854662776575</v>
      </c>
      <c r="Y217" s="466" t="e">
        <f t="shared" si="40"/>
        <v>#N/A</v>
      </c>
      <c r="AA217" s="35">
        <f t="shared" si="41"/>
        <v>226</v>
      </c>
      <c r="AB217" s="555">
        <f>[1]!srIx2Val(AC$6,AA217,1)</f>
        <v>875</v>
      </c>
      <c r="AC217" s="1001">
        <f>[1]!srIx2Val(AC$6,AA217,5)</f>
        <v>303620000</v>
      </c>
      <c r="AD217" s="1001">
        <f t="shared" si="42"/>
        <v>303610572.69194692</v>
      </c>
      <c r="AE217" s="465">
        <f>IF(AD217&lt;=0,0,[1]!srRng2E(AC$6,AD217))</f>
        <v>874.98073858276177</v>
      </c>
      <c r="AF217" s="466">
        <f t="shared" si="43"/>
        <v>1.9261417238226386E-2</v>
      </c>
      <c r="AG217" s="466" t="e">
        <f t="shared" si="44"/>
        <v>#N/A</v>
      </c>
      <c r="AH217" s="466">
        <f t="shared" si="45"/>
        <v>0.77045668952905544</v>
      </c>
      <c r="AI217" s="466" t="e">
        <f t="shared" si="46"/>
        <v>#N/A</v>
      </c>
    </row>
    <row r="218" spans="17:35">
      <c r="Q218" s="35">
        <f t="shared" si="47"/>
        <v>227</v>
      </c>
      <c r="R218" s="555">
        <f>[1]!srIx2Val(S$6,Q218,1)</f>
        <v>984.84848484848487</v>
      </c>
      <c r="S218" s="1001">
        <f>[1]!srIx2Val(S$6,Q218,5)</f>
        <v>135370000</v>
      </c>
      <c r="T218" s="1001">
        <f t="shared" si="36"/>
        <v>135357121.36188906</v>
      </c>
      <c r="U218" s="465">
        <f>IF(T218&lt;=0,0,[1]!srRng2E(S$6,T218))</f>
        <v>984.77987342778556</v>
      </c>
      <c r="V218" s="482">
        <f t="shared" si="37"/>
        <v>6.8611420699312475E-2</v>
      </c>
      <c r="W218" s="466" t="e">
        <f t="shared" si="38"/>
        <v>#N/A</v>
      </c>
      <c r="X218" s="466">
        <f t="shared" si="39"/>
        <v>9.0567075323092467</v>
      </c>
      <c r="Y218" s="466" t="e">
        <f t="shared" si="40"/>
        <v>#N/A</v>
      </c>
      <c r="AA218" s="35">
        <f t="shared" si="41"/>
        <v>227</v>
      </c>
      <c r="AB218" s="555">
        <f>[1]!srIx2Val(AC$6,AA218,1)</f>
        <v>937.5</v>
      </c>
      <c r="AC218" s="1001">
        <f>[1]!srIx2Val(AC$6,AA218,5)</f>
        <v>334750000</v>
      </c>
      <c r="AD218" s="1001">
        <f t="shared" si="42"/>
        <v>334740572.69194692</v>
      </c>
      <c r="AE218" s="465">
        <f>IF(AD218&lt;=0,0,[1]!srRng2E(AC$6,AD218))</f>
        <v>937.48107270307366</v>
      </c>
      <c r="AF218" s="466">
        <f t="shared" si="43"/>
        <v>1.8927296926335657E-2</v>
      </c>
      <c r="AG218" s="466" t="e">
        <f t="shared" si="44"/>
        <v>#N/A</v>
      </c>
      <c r="AH218" s="466">
        <f t="shared" si="45"/>
        <v>0.75709187705342629</v>
      </c>
      <c r="AI218" s="466" t="e">
        <f t="shared" si="46"/>
        <v>#N/A</v>
      </c>
    </row>
    <row r="219" spans="17:35">
      <c r="Q219" s="35">
        <f t="shared" si="47"/>
        <v>228</v>
      </c>
      <c r="R219" s="555">
        <f>[1]!srIx2Val(S$6,Q219,1)</f>
        <v>1000</v>
      </c>
      <c r="S219" s="1001">
        <f>[1]!srIx2Val(S$6,Q219,5)</f>
        <v>138240000</v>
      </c>
      <c r="T219" s="1001">
        <f t="shared" si="36"/>
        <v>138227121.36188906</v>
      </c>
      <c r="U219" s="465">
        <f>IF(T219&lt;=0,0,[1]!srRng2E(S$6,T219))</f>
        <v>999.93201014617819</v>
      </c>
      <c r="V219" s="482">
        <f t="shared" si="37"/>
        <v>6.7989853821813995E-2</v>
      </c>
      <c r="W219" s="466" t="e">
        <f t="shared" si="38"/>
        <v>#N/A</v>
      </c>
      <c r="X219" s="466">
        <f t="shared" si="39"/>
        <v>8.9746607044794473</v>
      </c>
      <c r="Y219" s="466" t="e">
        <f t="shared" si="40"/>
        <v>#N/A</v>
      </c>
      <c r="AA219" s="35">
        <f t="shared" si="41"/>
        <v>228</v>
      </c>
      <c r="AB219" s="555">
        <f>[1]!srIx2Val(AC$6,AA219,1)</f>
        <v>1000</v>
      </c>
      <c r="AC219" s="1001">
        <f>[1]!srIx2Val(AC$6,AA219,5)</f>
        <v>366350000</v>
      </c>
      <c r="AD219" s="1001">
        <f t="shared" si="42"/>
        <v>366340572.69194692</v>
      </c>
      <c r="AE219" s="465">
        <f>IF(AD219&lt;=0,0,[1]!srRng2E(AC$6,AD219))</f>
        <v>999.98135421666723</v>
      </c>
      <c r="AF219" s="466">
        <f t="shared" si="43"/>
        <v>1.8645783332772226E-2</v>
      </c>
      <c r="AG219" s="466" t="e">
        <f t="shared" si="44"/>
        <v>#N/A</v>
      </c>
      <c r="AH219" s="466">
        <f t="shared" si="45"/>
        <v>0.74583133331088902</v>
      </c>
      <c r="AI219" s="466" t="e">
        <f t="shared" si="46"/>
        <v>#N/A</v>
      </c>
    </row>
    <row r="220" spans="17:35">
      <c r="Q220" s="35"/>
    </row>
    <row r="221" spans="17:35">
      <c r="Q221" s="35"/>
    </row>
    <row r="222" spans="17:35">
      <c r="Q222" s="35"/>
    </row>
    <row r="223" spans="17:35">
      <c r="Q223" s="35"/>
    </row>
    <row r="224" spans="17:35">
      <c r="Q224" s="35"/>
    </row>
    <row r="225" spans="17:17">
      <c r="Q225" s="35"/>
    </row>
    <row r="226" spans="17:17">
      <c r="Q226" s="35"/>
    </row>
    <row r="227" spans="17:17">
      <c r="Q227" s="35"/>
    </row>
    <row r="228" spans="17:17">
      <c r="Q228" s="35"/>
    </row>
    <row r="229" spans="17:17">
      <c r="Q229" s="35"/>
    </row>
    <row r="230" spans="17:17">
      <c r="Q230" s="35"/>
    </row>
    <row r="231" spans="17:17">
      <c r="Q231" s="35"/>
    </row>
    <row r="232" spans="17:17">
      <c r="Q232" s="35"/>
    </row>
    <row r="233" spans="17:17">
      <c r="Q233" s="35"/>
    </row>
    <row r="234" spans="17:17">
      <c r="Q234" s="35"/>
    </row>
    <row r="235" spans="17:17">
      <c r="Q235" s="35"/>
    </row>
    <row r="236" spans="17:17">
      <c r="Q236" s="35"/>
    </row>
    <row r="237" spans="17:17">
      <c r="Q237" s="35"/>
    </row>
    <row r="238" spans="17:17">
      <c r="Q238" s="35"/>
    </row>
    <row r="239" spans="17:17">
      <c r="Q239" s="35"/>
    </row>
    <row r="240" spans="17:17">
      <c r="Q240" s="35"/>
    </row>
    <row r="241" spans="17:17">
      <c r="Q241" s="35"/>
    </row>
    <row r="242" spans="17:17">
      <c r="Q242" s="35"/>
    </row>
    <row r="243" spans="17:17">
      <c r="Q243" s="35"/>
    </row>
    <row r="244" spans="17:17">
      <c r="Q244" s="35"/>
    </row>
    <row r="245" spans="17:17">
      <c r="Q245" s="35"/>
    </row>
    <row r="246" spans="17:17">
      <c r="Q246" s="35"/>
    </row>
    <row r="247" spans="17:17">
      <c r="Q247" s="35"/>
    </row>
    <row r="248" spans="17:17">
      <c r="Q248" s="35"/>
    </row>
    <row r="249" spans="17:17">
      <c r="Q249" s="35"/>
    </row>
    <row r="250" spans="17:17">
      <c r="Q250" s="35"/>
    </row>
    <row r="251" spans="17:17">
      <c r="Q251" s="35"/>
    </row>
    <row r="252" spans="17:17">
      <c r="Q252" s="35"/>
    </row>
    <row r="253" spans="17:17">
      <c r="Q253" s="35"/>
    </row>
    <row r="254" spans="17:17">
      <c r="Q254" s="35"/>
    </row>
    <row r="255" spans="17:17">
      <c r="Q255" s="35"/>
    </row>
    <row r="256" spans="17:17">
      <c r="Q256" s="35"/>
    </row>
    <row r="257" spans="17:17">
      <c r="Q257" s="35"/>
    </row>
    <row r="258" spans="17:17">
      <c r="Q258" s="35"/>
    </row>
    <row r="259" spans="17:17">
      <c r="Q259" s="35"/>
    </row>
    <row r="260" spans="17:17">
      <c r="Q260" s="35"/>
    </row>
    <row r="261" spans="17:17">
      <c r="Q261" s="35"/>
    </row>
    <row r="262" spans="17:17">
      <c r="Q262" s="35"/>
    </row>
    <row r="263" spans="17:17">
      <c r="Q263" s="35"/>
    </row>
    <row r="264" spans="17:17">
      <c r="Q264" s="35"/>
    </row>
    <row r="265" spans="17:17">
      <c r="Q265" s="35"/>
    </row>
    <row r="266" spans="17:17">
      <c r="Q266" s="35"/>
    </row>
    <row r="267" spans="17:17">
      <c r="Q267" s="35"/>
    </row>
    <row r="268" spans="17:17">
      <c r="Q268" s="35"/>
    </row>
    <row r="269" spans="17:17">
      <c r="Q269" s="35"/>
    </row>
    <row r="270" spans="17:17">
      <c r="Q270" s="35"/>
    </row>
    <row r="271" spans="17:17">
      <c r="Q271" s="35"/>
    </row>
    <row r="272" spans="17:17">
      <c r="Q272" s="35"/>
    </row>
    <row r="273" spans="17:17">
      <c r="Q273" s="35"/>
    </row>
    <row r="274" spans="17:17">
      <c r="Q274" s="35"/>
    </row>
    <row r="275" spans="17:17">
      <c r="Q275" s="35"/>
    </row>
    <row r="276" spans="17:17">
      <c r="Q276" s="35"/>
    </row>
    <row r="277" spans="17:17">
      <c r="Q277" s="35"/>
    </row>
    <row r="278" spans="17:17">
      <c r="Q278" s="35"/>
    </row>
    <row r="279" spans="17:17">
      <c r="Q279" s="35"/>
    </row>
    <row r="280" spans="17:17">
      <c r="Q280" s="35"/>
    </row>
    <row r="281" spans="17:17">
      <c r="Q281" s="35"/>
    </row>
    <row r="282" spans="17:17">
      <c r="Q282" s="35"/>
    </row>
    <row r="283" spans="17:17">
      <c r="Q283" s="35"/>
    </row>
    <row r="284" spans="17:17">
      <c r="Q284" s="35"/>
    </row>
    <row r="285" spans="17:17">
      <c r="Q285" s="35"/>
    </row>
    <row r="286" spans="17:17">
      <c r="Q286" s="35"/>
    </row>
    <row r="287" spans="17:17">
      <c r="Q287" s="35"/>
    </row>
    <row r="288" spans="17:17">
      <c r="Q288" s="35"/>
    </row>
    <row r="289" spans="17:17">
      <c r="Q289" s="35"/>
    </row>
    <row r="290" spans="17:17">
      <c r="Q290" s="35"/>
    </row>
    <row r="291" spans="17:17">
      <c r="Q291" s="35"/>
    </row>
    <row r="292" spans="17:17">
      <c r="Q292" s="35"/>
    </row>
    <row r="293" spans="17:17">
      <c r="Q293" s="35"/>
    </row>
    <row r="294" spans="17:17">
      <c r="Q294" s="35"/>
    </row>
    <row r="295" spans="17:17">
      <c r="Q295" s="35"/>
    </row>
    <row r="296" spans="17:17">
      <c r="Q296" s="35"/>
    </row>
    <row r="297" spans="17:17">
      <c r="Q297" s="35"/>
    </row>
    <row r="298" spans="17:17">
      <c r="Q298" s="35"/>
    </row>
    <row r="299" spans="17:17">
      <c r="Q299" s="35"/>
    </row>
    <row r="300" spans="17:17">
      <c r="Q300" s="35"/>
    </row>
    <row r="301" spans="17:17">
      <c r="Q301" s="35"/>
    </row>
    <row r="302" spans="17:17">
      <c r="Q302" s="35"/>
    </row>
    <row r="303" spans="17:17">
      <c r="Q303" s="35"/>
    </row>
    <row r="304" spans="17:17">
      <c r="Q304" s="35"/>
    </row>
    <row r="305" spans="17:17">
      <c r="Q305" s="35"/>
    </row>
    <row r="306" spans="17:17">
      <c r="Q306" s="35"/>
    </row>
    <row r="307" spans="17:17">
      <c r="Q307" s="35"/>
    </row>
    <row r="308" spans="17:17">
      <c r="Q308" s="35"/>
    </row>
    <row r="309" spans="17:17">
      <c r="Q309" s="35"/>
    </row>
    <row r="310" spans="17:17">
      <c r="Q310" s="35"/>
    </row>
    <row r="311" spans="17:17">
      <c r="Q311" s="35"/>
    </row>
    <row r="312" spans="17:17">
      <c r="Q312" s="35"/>
    </row>
    <row r="313" spans="17:17">
      <c r="Q313" s="35"/>
    </row>
    <row r="314" spans="17:17">
      <c r="Q314" s="35"/>
    </row>
    <row r="315" spans="17:17">
      <c r="Q315" s="35"/>
    </row>
    <row r="316" spans="17:17">
      <c r="Q316" s="35"/>
    </row>
    <row r="317" spans="17:17">
      <c r="Q317" s="35"/>
    </row>
    <row r="318" spans="17:17">
      <c r="Q318" s="35"/>
    </row>
    <row r="319" spans="17:17">
      <c r="Q319" s="35"/>
    </row>
    <row r="320" spans="17:17">
      <c r="Q320" s="35"/>
    </row>
    <row r="321" spans="17:17">
      <c r="Q321" s="35"/>
    </row>
    <row r="322" spans="17:17">
      <c r="Q322" s="35"/>
    </row>
    <row r="323" spans="17:17">
      <c r="Q323" s="35"/>
    </row>
    <row r="324" spans="17:17">
      <c r="Q324" s="35"/>
    </row>
    <row r="325" spans="17:17">
      <c r="Q325" s="35"/>
    </row>
    <row r="326" spans="17:17">
      <c r="Q326" s="35"/>
    </row>
    <row r="327" spans="17:17">
      <c r="Q327" s="35"/>
    </row>
    <row r="328" spans="17:17">
      <c r="Q328" s="35"/>
    </row>
    <row r="329" spans="17:17">
      <c r="Q329" s="35"/>
    </row>
    <row r="330" spans="17:17">
      <c r="Q330" s="35"/>
    </row>
    <row r="331" spans="17:17">
      <c r="Q331" s="35"/>
    </row>
    <row r="332" spans="17:17">
      <c r="Q332" s="35"/>
    </row>
    <row r="333" spans="17:17">
      <c r="Q333" s="35"/>
    </row>
    <row r="334" spans="17:17">
      <c r="Q334" s="35"/>
    </row>
    <row r="335" spans="17:17">
      <c r="Q335" s="35"/>
    </row>
    <row r="336" spans="17:17">
      <c r="Q336" s="35"/>
    </row>
    <row r="337" spans="17:17">
      <c r="Q337" s="35"/>
    </row>
    <row r="338" spans="17:17">
      <c r="Q338" s="35"/>
    </row>
    <row r="339" spans="17:17">
      <c r="Q339" s="35"/>
    </row>
    <row r="340" spans="17:17">
      <c r="Q340" s="35"/>
    </row>
    <row r="341" spans="17:17">
      <c r="Q341" s="35"/>
    </row>
    <row r="342" spans="17:17">
      <c r="Q342" s="35"/>
    </row>
    <row r="343" spans="17:17">
      <c r="Q343" s="35"/>
    </row>
    <row r="344" spans="17:17">
      <c r="Q344" s="35"/>
    </row>
    <row r="345" spans="17:17">
      <c r="Q345" s="35"/>
    </row>
    <row r="346" spans="17:17">
      <c r="Q346" s="35"/>
    </row>
    <row r="347" spans="17:17">
      <c r="Q347" s="35"/>
    </row>
    <row r="348" spans="17:17">
      <c r="Q348" s="35"/>
    </row>
    <row r="349" spans="17:17">
      <c r="Q349" s="35"/>
    </row>
    <row r="350" spans="17:17">
      <c r="Q350" s="35"/>
    </row>
    <row r="351" spans="17:17">
      <c r="Q351" s="35"/>
    </row>
    <row r="352" spans="17:17">
      <c r="Q352" s="35"/>
    </row>
    <row r="353" spans="17:17">
      <c r="Q353" s="35"/>
    </row>
    <row r="354" spans="17:17">
      <c r="Q354" s="35"/>
    </row>
    <row r="355" spans="17:17">
      <c r="Q355" s="35"/>
    </row>
    <row r="356" spans="17:17">
      <c r="Q356" s="35"/>
    </row>
    <row r="357" spans="17:17">
      <c r="Q357" s="35"/>
    </row>
    <row r="358" spans="17:17">
      <c r="Q358" s="35"/>
    </row>
    <row r="359" spans="17:17">
      <c r="Q359" s="35"/>
    </row>
    <row r="360" spans="17:17">
      <c r="Q360" s="35"/>
    </row>
    <row r="361" spans="17:17">
      <c r="Q361" s="35"/>
    </row>
    <row r="362" spans="17:17">
      <c r="Q362" s="35"/>
    </row>
    <row r="363" spans="17:17">
      <c r="Q363" s="35"/>
    </row>
    <row r="364" spans="17:17">
      <c r="Q364" s="35"/>
    </row>
    <row r="365" spans="17:17">
      <c r="Q365" s="35"/>
    </row>
    <row r="366" spans="17:17">
      <c r="Q366" s="35"/>
    </row>
    <row r="367" spans="17:17">
      <c r="Q367" s="35"/>
    </row>
    <row r="368" spans="17:17">
      <c r="Q368" s="35"/>
    </row>
    <row r="369" spans="17:17">
      <c r="Q369" s="35"/>
    </row>
    <row r="370" spans="17:17">
      <c r="Q370" s="35"/>
    </row>
    <row r="371" spans="17:17">
      <c r="Q371" s="35"/>
    </row>
    <row r="372" spans="17:17">
      <c r="Q372" s="35"/>
    </row>
    <row r="373" spans="17:17">
      <c r="Q373" s="35"/>
    </row>
    <row r="374" spans="17:17">
      <c r="Q374" s="35"/>
    </row>
    <row r="375" spans="17:17">
      <c r="Q375" s="35"/>
    </row>
    <row r="376" spans="17:17">
      <c r="Q376" s="35"/>
    </row>
    <row r="377" spans="17:17">
      <c r="Q377" s="35"/>
    </row>
    <row r="378" spans="17:17">
      <c r="Q378" s="35"/>
    </row>
    <row r="379" spans="17:17">
      <c r="Q379" s="35"/>
    </row>
    <row r="380" spans="17:17">
      <c r="Q380" s="35"/>
    </row>
    <row r="381" spans="17:17">
      <c r="Q381" s="35"/>
    </row>
    <row r="382" spans="17:17">
      <c r="Q382" s="35"/>
    </row>
    <row r="383" spans="17:17">
      <c r="Q383" s="35"/>
    </row>
    <row r="384" spans="17:17">
      <c r="Q384" s="35"/>
    </row>
    <row r="385" spans="17:17">
      <c r="Q385" s="35"/>
    </row>
    <row r="386" spans="17:17">
      <c r="Q386" s="35"/>
    </row>
    <row r="387" spans="17:17">
      <c r="Q387" s="35"/>
    </row>
    <row r="388" spans="17:17">
      <c r="Q388" s="35"/>
    </row>
    <row r="389" spans="17:17">
      <c r="Q389" s="35"/>
    </row>
    <row r="390" spans="17:17">
      <c r="Q390" s="35"/>
    </row>
    <row r="391" spans="17:17">
      <c r="Q391" s="35"/>
    </row>
    <row r="392" spans="17:17">
      <c r="Q392" s="35"/>
    </row>
    <row r="393" spans="17:17">
      <c r="Q393" s="35"/>
    </row>
    <row r="394" spans="17:17">
      <c r="Q394" s="35"/>
    </row>
    <row r="395" spans="17:17">
      <c r="Q395" s="35"/>
    </row>
    <row r="396" spans="17:17">
      <c r="Q396" s="35"/>
    </row>
    <row r="397" spans="17:17">
      <c r="Q397" s="35"/>
    </row>
    <row r="398" spans="17:17">
      <c r="Q398" s="35"/>
    </row>
    <row r="399" spans="17:17">
      <c r="Q399" s="35"/>
    </row>
    <row r="400" spans="17:17">
      <c r="Q400" s="35"/>
    </row>
    <row r="401" spans="17:17">
      <c r="Q401" s="35"/>
    </row>
    <row r="402" spans="17:17">
      <c r="Q402" s="35"/>
    </row>
    <row r="403" spans="17:17">
      <c r="Q403" s="35"/>
    </row>
    <row r="404" spans="17:17">
      <c r="Q404" s="35"/>
    </row>
    <row r="405" spans="17:17">
      <c r="Q405" s="35"/>
    </row>
    <row r="406" spans="17:17">
      <c r="Q406" s="35"/>
    </row>
    <row r="407" spans="17:17">
      <c r="Q407" s="35"/>
    </row>
    <row r="408" spans="17:17">
      <c r="Q408" s="35"/>
    </row>
    <row r="409" spans="17:17">
      <c r="Q409" s="35"/>
    </row>
    <row r="410" spans="17:17">
      <c r="Q410" s="35"/>
    </row>
    <row r="411" spans="17:17">
      <c r="Q411" s="35"/>
    </row>
    <row r="412" spans="17:17">
      <c r="Q412" s="35"/>
    </row>
    <row r="413" spans="17:17">
      <c r="Q413" s="35"/>
    </row>
    <row r="414" spans="17:17">
      <c r="Q414" s="35"/>
    </row>
    <row r="415" spans="17:17">
      <c r="Q415" s="35"/>
    </row>
    <row r="416" spans="17:17">
      <c r="Q416" s="35"/>
    </row>
    <row r="417" spans="17:17">
      <c r="Q417" s="35"/>
    </row>
    <row r="418" spans="17:17">
      <c r="Q418" s="35"/>
    </row>
    <row r="419" spans="17:17">
      <c r="Q419" s="35"/>
    </row>
    <row r="420" spans="17:17">
      <c r="Q420" s="35"/>
    </row>
    <row r="421" spans="17:17">
      <c r="Q421" s="35"/>
    </row>
    <row r="422" spans="17:17">
      <c r="Q422" s="35"/>
    </row>
    <row r="423" spans="17:17">
      <c r="Q423" s="35"/>
    </row>
    <row r="424" spans="17:17">
      <c r="Q424" s="35"/>
    </row>
    <row r="425" spans="17:17">
      <c r="Q425" s="35"/>
    </row>
    <row r="426" spans="17:17">
      <c r="Q426" s="35"/>
    </row>
    <row r="427" spans="17:17">
      <c r="Q427" s="35"/>
    </row>
    <row r="428" spans="17:17">
      <c r="Q428" s="35"/>
    </row>
    <row r="429" spans="17:17">
      <c r="Q429" s="35"/>
    </row>
    <row r="430" spans="17:17">
      <c r="Q430" s="35"/>
    </row>
    <row r="431" spans="17:17">
      <c r="Q431" s="35"/>
    </row>
    <row r="432" spans="17:17">
      <c r="Q432" s="35"/>
    </row>
    <row r="433" spans="17:17">
      <c r="Q433" s="35"/>
    </row>
    <row r="434" spans="17:17">
      <c r="Q434" s="35"/>
    </row>
    <row r="435" spans="17:17">
      <c r="Q435" s="35"/>
    </row>
    <row r="436" spans="17:17">
      <c r="Q436" s="35"/>
    </row>
    <row r="437" spans="17:17">
      <c r="Q437" s="35"/>
    </row>
    <row r="438" spans="17:17">
      <c r="Q438" s="35"/>
    </row>
    <row r="439" spans="17:17">
      <c r="Q439" s="35"/>
    </row>
    <row r="440" spans="17:17">
      <c r="Q440" s="35"/>
    </row>
    <row r="441" spans="17:17">
      <c r="Q441" s="35"/>
    </row>
    <row r="442" spans="17:17">
      <c r="Q442" s="35"/>
    </row>
    <row r="443" spans="17:17">
      <c r="Q443" s="35"/>
    </row>
    <row r="444" spans="17:17">
      <c r="Q444" s="35"/>
    </row>
    <row r="445" spans="17:17">
      <c r="Q445" s="35"/>
    </row>
    <row r="446" spans="17:17">
      <c r="Q446" s="35"/>
    </row>
    <row r="447" spans="17:17">
      <c r="Q447" s="35"/>
    </row>
    <row r="448" spans="17:17">
      <c r="Q448" s="35"/>
    </row>
    <row r="449" spans="17:17">
      <c r="Q449" s="35"/>
    </row>
    <row r="450" spans="17:17">
      <c r="Q450" s="35"/>
    </row>
    <row r="451" spans="17:17">
      <c r="Q451" s="35"/>
    </row>
    <row r="452" spans="17:17">
      <c r="Q452" s="35"/>
    </row>
    <row r="453" spans="17:17">
      <c r="Q453" s="35"/>
    </row>
    <row r="454" spans="17:17">
      <c r="Q454" s="35"/>
    </row>
    <row r="455" spans="17:17">
      <c r="Q455" s="35"/>
    </row>
    <row r="456" spans="17:17">
      <c r="Q456" s="35"/>
    </row>
    <row r="457" spans="17:17">
      <c r="Q457" s="35"/>
    </row>
    <row r="458" spans="17:17">
      <c r="Q458" s="35"/>
    </row>
    <row r="459" spans="17:17">
      <c r="Q459" s="35"/>
    </row>
    <row r="460" spans="17:17">
      <c r="Q460" s="35"/>
    </row>
    <row r="461" spans="17:17">
      <c r="Q461" s="35"/>
    </row>
    <row r="462" spans="17:17">
      <c r="Q462" s="35"/>
    </row>
    <row r="463" spans="17:17">
      <c r="Q463" s="35"/>
    </row>
    <row r="464" spans="17:17">
      <c r="Q464" s="35"/>
    </row>
    <row r="465" spans="17:17">
      <c r="Q465" s="35"/>
    </row>
    <row r="466" spans="17:17">
      <c r="Q466" s="35"/>
    </row>
    <row r="467" spans="17:17">
      <c r="Q467" s="35"/>
    </row>
    <row r="468" spans="17:17">
      <c r="Q468" s="35"/>
    </row>
    <row r="469" spans="17:17">
      <c r="Q469" s="35"/>
    </row>
    <row r="470" spans="17:17">
      <c r="Q470" s="35"/>
    </row>
    <row r="471" spans="17:17">
      <c r="Q471" s="35"/>
    </row>
    <row r="472" spans="17:17">
      <c r="Q472" s="35"/>
    </row>
    <row r="473" spans="17:17">
      <c r="Q473" s="35"/>
    </row>
    <row r="474" spans="17:17">
      <c r="Q474" s="35"/>
    </row>
    <row r="475" spans="17:17">
      <c r="Q475" s="35"/>
    </row>
    <row r="476" spans="17:17">
      <c r="Q476" s="35"/>
    </row>
    <row r="477" spans="17:17">
      <c r="Q477" s="35"/>
    </row>
    <row r="478" spans="17:17">
      <c r="Q478" s="35"/>
    </row>
    <row r="479" spans="17:17">
      <c r="Q479" s="35"/>
    </row>
    <row r="480" spans="17:17">
      <c r="Q480" s="35"/>
    </row>
    <row r="481" spans="17:17">
      <c r="Q481" s="35"/>
    </row>
    <row r="482" spans="17:17">
      <c r="Q482" s="35"/>
    </row>
    <row r="483" spans="17:17">
      <c r="Q483" s="35"/>
    </row>
    <row r="484" spans="17:17">
      <c r="Q484" s="35"/>
    </row>
    <row r="485" spans="17:17">
      <c r="Q485" s="35"/>
    </row>
    <row r="486" spans="17:17">
      <c r="Q486" s="35"/>
    </row>
    <row r="487" spans="17:17">
      <c r="Q487" s="35"/>
    </row>
    <row r="488" spans="17:17">
      <c r="Q488" s="35"/>
    </row>
    <row r="489" spans="17:17">
      <c r="Q489" s="35"/>
    </row>
    <row r="490" spans="17:17">
      <c r="Q490" s="35"/>
    </row>
    <row r="491" spans="17:17">
      <c r="Q491" s="35"/>
    </row>
    <row r="492" spans="17:17">
      <c r="Q492" s="35"/>
    </row>
    <row r="493" spans="17:17">
      <c r="Q493" s="35"/>
    </row>
    <row r="494" spans="17:17">
      <c r="Q494" s="35"/>
    </row>
    <row r="495" spans="17:17">
      <c r="Q495" s="35"/>
    </row>
    <row r="496" spans="17:17">
      <c r="Q496" s="35"/>
    </row>
    <row r="497" spans="17:17">
      <c r="Q497" s="35"/>
    </row>
    <row r="498" spans="17:17">
      <c r="Q498" s="35"/>
    </row>
    <row r="499" spans="17:17">
      <c r="Q499" s="35"/>
    </row>
    <row r="500" spans="17:17">
      <c r="Q500" s="35"/>
    </row>
    <row r="501" spans="17:17">
      <c r="Q501" s="35"/>
    </row>
    <row r="502" spans="17:17">
      <c r="Q502" s="35"/>
    </row>
    <row r="503" spans="17:17">
      <c r="Q503" s="35"/>
    </row>
    <row r="504" spans="17:17">
      <c r="Q504" s="35"/>
    </row>
    <row r="505" spans="17:17">
      <c r="Q505" s="35"/>
    </row>
    <row r="506" spans="17:17">
      <c r="Q506" s="35"/>
    </row>
    <row r="507" spans="17:17">
      <c r="Q507" s="35"/>
    </row>
    <row r="508" spans="17:17">
      <c r="Q508" s="35"/>
    </row>
    <row r="509" spans="17:17">
      <c r="Q509" s="35"/>
    </row>
    <row r="510" spans="17:17">
      <c r="Q510" s="35"/>
    </row>
    <row r="511" spans="17:17">
      <c r="Q511" s="35"/>
    </row>
    <row r="512" spans="17:17">
      <c r="Q512" s="35"/>
    </row>
    <row r="513" spans="17:17">
      <c r="Q513" s="35"/>
    </row>
    <row r="514" spans="17:17">
      <c r="Q514" s="35"/>
    </row>
    <row r="515" spans="17:17">
      <c r="Q515" s="35"/>
    </row>
    <row r="516" spans="17:17">
      <c r="Q516" s="35"/>
    </row>
    <row r="517" spans="17:17">
      <c r="Q517" s="35"/>
    </row>
    <row r="518" spans="17:17">
      <c r="Q518" s="35"/>
    </row>
    <row r="519" spans="17:17">
      <c r="Q519" s="35"/>
    </row>
    <row r="520" spans="17:17">
      <c r="Q520" s="35"/>
    </row>
    <row r="521" spans="17:17">
      <c r="Q521" s="35"/>
    </row>
    <row r="522" spans="17:17">
      <c r="Q522" s="35"/>
    </row>
    <row r="523" spans="17:17">
      <c r="Q523" s="35"/>
    </row>
    <row r="524" spans="17:17">
      <c r="Q524" s="35"/>
    </row>
    <row r="525" spans="17:17">
      <c r="Q525" s="35"/>
    </row>
    <row r="526" spans="17:17">
      <c r="Q526" s="35"/>
    </row>
    <row r="527" spans="17:17">
      <c r="Q527" s="35"/>
    </row>
    <row r="528" spans="17:17">
      <c r="Q528" s="35"/>
    </row>
    <row r="529" spans="17:17">
      <c r="Q529" s="35"/>
    </row>
    <row r="530" spans="17:17">
      <c r="Q530" s="35"/>
    </row>
    <row r="531" spans="17:17">
      <c r="Q531" s="35"/>
    </row>
    <row r="532" spans="17:17">
      <c r="Q532" s="35"/>
    </row>
    <row r="533" spans="17:17">
      <c r="Q533" s="35"/>
    </row>
    <row r="534" spans="17:17">
      <c r="Q534" s="35"/>
    </row>
    <row r="535" spans="17:17">
      <c r="Q535" s="35"/>
    </row>
    <row r="536" spans="17:17">
      <c r="Q536" s="35"/>
    </row>
    <row r="537" spans="17:17">
      <c r="Q537" s="35"/>
    </row>
    <row r="538" spans="17:17">
      <c r="Q538" s="35"/>
    </row>
    <row r="539" spans="17:17">
      <c r="Q539" s="35"/>
    </row>
    <row r="540" spans="17:17">
      <c r="Q540" s="35"/>
    </row>
    <row r="541" spans="17:17">
      <c r="Q541" s="35"/>
    </row>
    <row r="542" spans="17:17">
      <c r="Q542" s="35"/>
    </row>
    <row r="543" spans="17:17">
      <c r="Q543" s="35"/>
    </row>
    <row r="544" spans="17:17">
      <c r="Q544" s="35"/>
    </row>
    <row r="545" spans="17:17">
      <c r="Q545" s="35"/>
    </row>
    <row r="546" spans="17:17">
      <c r="Q546" s="35"/>
    </row>
    <row r="547" spans="17:17">
      <c r="Q547" s="35"/>
    </row>
    <row r="548" spans="17:17">
      <c r="Q548" s="35"/>
    </row>
    <row r="549" spans="17:17">
      <c r="Q549" s="35"/>
    </row>
    <row r="550" spans="17:17">
      <c r="Q550" s="35"/>
    </row>
    <row r="551" spans="17:17">
      <c r="Q551" s="35"/>
    </row>
    <row r="552" spans="17:17">
      <c r="Q552" s="35"/>
    </row>
    <row r="553" spans="17:17">
      <c r="Q553" s="35"/>
    </row>
    <row r="554" spans="17:17">
      <c r="Q554" s="35"/>
    </row>
    <row r="555" spans="17:17">
      <c r="Q555" s="35"/>
    </row>
    <row r="556" spans="17:17">
      <c r="Q556" s="35"/>
    </row>
    <row r="557" spans="17:17">
      <c r="Q557" s="35"/>
    </row>
    <row r="558" spans="17:17">
      <c r="Q558" s="35"/>
    </row>
    <row r="559" spans="17:17">
      <c r="Q559" s="35"/>
    </row>
    <row r="560" spans="17:17">
      <c r="Q560" s="35"/>
    </row>
    <row r="561" spans="17:17">
      <c r="Q561" s="35"/>
    </row>
    <row r="562" spans="17:17">
      <c r="Q562" s="35"/>
    </row>
    <row r="563" spans="17:17">
      <c r="Q563" s="35"/>
    </row>
    <row r="564" spans="17:17">
      <c r="Q564" s="35"/>
    </row>
    <row r="565" spans="17:17">
      <c r="Q565" s="35"/>
    </row>
    <row r="566" spans="17:17">
      <c r="Q566" s="35"/>
    </row>
    <row r="567" spans="17:17">
      <c r="Q567" s="35"/>
    </row>
    <row r="568" spans="17:17">
      <c r="Q568" s="35"/>
    </row>
    <row r="569" spans="17:17">
      <c r="Q569" s="35"/>
    </row>
    <row r="570" spans="17:17">
      <c r="Q570" s="35"/>
    </row>
    <row r="571" spans="17:17">
      <c r="Q571" s="35"/>
    </row>
    <row r="572" spans="17:17">
      <c r="Q572" s="35"/>
    </row>
    <row r="573" spans="17:17">
      <c r="Q573" s="35"/>
    </row>
    <row r="574" spans="17:17">
      <c r="Q574" s="35"/>
    </row>
    <row r="575" spans="17:17">
      <c r="Q575" s="35"/>
    </row>
    <row r="576" spans="17:17">
      <c r="Q576" s="35"/>
    </row>
    <row r="577" spans="17:17">
      <c r="Q577" s="35"/>
    </row>
    <row r="578" spans="17:17">
      <c r="Q578" s="35"/>
    </row>
    <row r="579" spans="17:17">
      <c r="Q579" s="35"/>
    </row>
    <row r="580" spans="17:17">
      <c r="Q580" s="35"/>
    </row>
    <row r="581" spans="17:17">
      <c r="Q581" s="35"/>
    </row>
    <row r="582" spans="17:17">
      <c r="Q582" s="35"/>
    </row>
    <row r="583" spans="17:17">
      <c r="Q583" s="35"/>
    </row>
    <row r="584" spans="17:17">
      <c r="Q584" s="35"/>
    </row>
    <row r="585" spans="17:17">
      <c r="Q585" s="35"/>
    </row>
    <row r="586" spans="17:17">
      <c r="Q586" s="35"/>
    </row>
    <row r="587" spans="17:17">
      <c r="Q587" s="35"/>
    </row>
    <row r="588" spans="17:17">
      <c r="Q588" s="35"/>
    </row>
    <row r="589" spans="17:17">
      <c r="Q589" s="35"/>
    </row>
    <row r="590" spans="17:17">
      <c r="Q590" s="35"/>
    </row>
    <row r="591" spans="17:17">
      <c r="Q591" s="35"/>
    </row>
    <row r="592" spans="17:17">
      <c r="Q592" s="35"/>
    </row>
    <row r="593" spans="17:17">
      <c r="Q593" s="35"/>
    </row>
    <row r="594" spans="17:17">
      <c r="Q594" s="35"/>
    </row>
    <row r="595" spans="17:17">
      <c r="Q595" s="35"/>
    </row>
    <row r="596" spans="17:17">
      <c r="Q596" s="35"/>
    </row>
    <row r="597" spans="17:17">
      <c r="Q597" s="35"/>
    </row>
    <row r="598" spans="17:17">
      <c r="Q598" s="35"/>
    </row>
    <row r="599" spans="17:17">
      <c r="Q599" s="35"/>
    </row>
    <row r="600" spans="17:17">
      <c r="Q600" s="35"/>
    </row>
    <row r="601" spans="17:17">
      <c r="Q601" s="35"/>
    </row>
    <row r="602" spans="17:17">
      <c r="Q602" s="35"/>
    </row>
    <row r="603" spans="17:17">
      <c r="Q603" s="35"/>
    </row>
    <row r="604" spans="17:17">
      <c r="Q604" s="35"/>
    </row>
    <row r="605" spans="17:17">
      <c r="Q605" s="35"/>
    </row>
    <row r="606" spans="17:17">
      <c r="Q606" s="35"/>
    </row>
    <row r="607" spans="17:17">
      <c r="Q607" s="35"/>
    </row>
    <row r="608" spans="17:17">
      <c r="Q608" s="35"/>
    </row>
    <row r="609" spans="17:17">
      <c r="Q609" s="35"/>
    </row>
    <row r="610" spans="17:17">
      <c r="Q610" s="35"/>
    </row>
    <row r="611" spans="17:17">
      <c r="Q611" s="35"/>
    </row>
    <row r="612" spans="17:17">
      <c r="Q612" s="35"/>
    </row>
    <row r="613" spans="17:17">
      <c r="Q613" s="35"/>
    </row>
    <row r="614" spans="17:17">
      <c r="Q614" s="35"/>
    </row>
    <row r="615" spans="17:17">
      <c r="Q615" s="35"/>
    </row>
    <row r="616" spans="17:17">
      <c r="Q616" s="35"/>
    </row>
    <row r="617" spans="17:17">
      <c r="Q617" s="35"/>
    </row>
    <row r="618" spans="17:17">
      <c r="Q618" s="35"/>
    </row>
    <row r="619" spans="17:17">
      <c r="Q619" s="35"/>
    </row>
    <row r="620" spans="17:17">
      <c r="Q620" s="35"/>
    </row>
    <row r="621" spans="17:17">
      <c r="Q621" s="35"/>
    </row>
    <row r="622" spans="17:17">
      <c r="Q622" s="35"/>
    </row>
    <row r="623" spans="17:17">
      <c r="Q623" s="35"/>
    </row>
    <row r="624" spans="17:17">
      <c r="Q624" s="35"/>
    </row>
    <row r="625" spans="17:17">
      <c r="Q625" s="35"/>
    </row>
    <row r="626" spans="17:17">
      <c r="Q626" s="35"/>
    </row>
    <row r="627" spans="17:17">
      <c r="Q627" s="35"/>
    </row>
    <row r="628" spans="17:17">
      <c r="Q628" s="35"/>
    </row>
    <row r="629" spans="17:17">
      <c r="Q629" s="35"/>
    </row>
    <row r="630" spans="17:17">
      <c r="Q630" s="35"/>
    </row>
    <row r="631" spans="17:17">
      <c r="Q631" s="35"/>
    </row>
    <row r="632" spans="17:17">
      <c r="Q632" s="35"/>
    </row>
    <row r="633" spans="17:17">
      <c r="Q633" s="35"/>
    </row>
    <row r="634" spans="17:17">
      <c r="Q634" s="35"/>
    </row>
    <row r="635" spans="17:17">
      <c r="Q635" s="35"/>
    </row>
    <row r="636" spans="17:17">
      <c r="Q636" s="35"/>
    </row>
    <row r="637" spans="17:17">
      <c r="Q637" s="35"/>
    </row>
    <row r="638" spans="17:17">
      <c r="Q638" s="35"/>
    </row>
    <row r="639" spans="17:17">
      <c r="Q639" s="35"/>
    </row>
    <row r="640" spans="17:17">
      <c r="Q640" s="35"/>
    </row>
    <row r="641" spans="17:17">
      <c r="Q641" s="35"/>
    </row>
    <row r="642" spans="17:17">
      <c r="Q642" s="35"/>
    </row>
    <row r="643" spans="17:17">
      <c r="Q643" s="35"/>
    </row>
    <row r="644" spans="17:17">
      <c r="Q644" s="35"/>
    </row>
    <row r="645" spans="17:17">
      <c r="Q645" s="35"/>
    </row>
    <row r="646" spans="17:17">
      <c r="Q646" s="35"/>
    </row>
    <row r="647" spans="17:17">
      <c r="Q647" s="35"/>
    </row>
    <row r="648" spans="17:17">
      <c r="Q648" s="35"/>
    </row>
    <row r="649" spans="17:17">
      <c r="Q649" s="35"/>
    </row>
    <row r="650" spans="17:17">
      <c r="Q650" s="35"/>
    </row>
    <row r="651" spans="17:17">
      <c r="Q651" s="35"/>
    </row>
    <row r="652" spans="17:17">
      <c r="Q652" s="35"/>
    </row>
    <row r="653" spans="17:17">
      <c r="Q653" s="35"/>
    </row>
    <row r="654" spans="17:17">
      <c r="Q654" s="35"/>
    </row>
    <row r="655" spans="17:17">
      <c r="Q655" s="35"/>
    </row>
    <row r="656" spans="17:17">
      <c r="Q656" s="35"/>
    </row>
    <row r="657" spans="17:17">
      <c r="Q657" s="35"/>
    </row>
    <row r="658" spans="17:17">
      <c r="Q658" s="35"/>
    </row>
    <row r="659" spans="17:17">
      <c r="Q659" s="35"/>
    </row>
    <row r="660" spans="17:17">
      <c r="Q660" s="35"/>
    </row>
    <row r="661" spans="17:17">
      <c r="Q661" s="35"/>
    </row>
    <row r="662" spans="17:17">
      <c r="Q662" s="35"/>
    </row>
    <row r="663" spans="17:17">
      <c r="Q663" s="35"/>
    </row>
    <row r="664" spans="17:17">
      <c r="Q664" s="35"/>
    </row>
    <row r="665" spans="17:17">
      <c r="Q665" s="35"/>
    </row>
    <row r="666" spans="17:17">
      <c r="Q666" s="35"/>
    </row>
    <row r="667" spans="17:17">
      <c r="Q667" s="35"/>
    </row>
    <row r="668" spans="17:17">
      <c r="Q668" s="35"/>
    </row>
    <row r="669" spans="17:17">
      <c r="Q669" s="35"/>
    </row>
    <row r="670" spans="17:17">
      <c r="Q670" s="35"/>
    </row>
    <row r="671" spans="17:17">
      <c r="Q671" s="35"/>
    </row>
    <row r="672" spans="17:17">
      <c r="Q672" s="35"/>
    </row>
    <row r="673" spans="17:17">
      <c r="Q673" s="35"/>
    </row>
    <row r="674" spans="17:17">
      <c r="Q674" s="35"/>
    </row>
    <row r="675" spans="17:17">
      <c r="Q675" s="35"/>
    </row>
    <row r="676" spans="17:17">
      <c r="Q676" s="35"/>
    </row>
    <row r="677" spans="17:17">
      <c r="Q677" s="35"/>
    </row>
    <row r="678" spans="17:17">
      <c r="Q678" s="35"/>
    </row>
    <row r="679" spans="17:17">
      <c r="Q679" s="35"/>
    </row>
    <row r="680" spans="17:17">
      <c r="Q680" s="35"/>
    </row>
    <row r="681" spans="17:17">
      <c r="Q681" s="35"/>
    </row>
    <row r="682" spans="17:17">
      <c r="Q682" s="35"/>
    </row>
    <row r="683" spans="17:17">
      <c r="Q683" s="35"/>
    </row>
    <row r="684" spans="17:17">
      <c r="Q684" s="35"/>
    </row>
    <row r="685" spans="17:17">
      <c r="Q685" s="35"/>
    </row>
    <row r="686" spans="17:17">
      <c r="Q686" s="35"/>
    </row>
    <row r="687" spans="17:17">
      <c r="Q687" s="35"/>
    </row>
    <row r="688" spans="17:17">
      <c r="Q688" s="35"/>
    </row>
    <row r="689" spans="17:17">
      <c r="Q689" s="35"/>
    </row>
    <row r="690" spans="17:17">
      <c r="Q690" s="35"/>
    </row>
    <row r="691" spans="17:17">
      <c r="Q691" s="35"/>
    </row>
    <row r="692" spans="17:17">
      <c r="Q692" s="35"/>
    </row>
    <row r="693" spans="17:17">
      <c r="Q693" s="35"/>
    </row>
    <row r="694" spans="17:17">
      <c r="Q694" s="35"/>
    </row>
    <row r="695" spans="17:17">
      <c r="Q695" s="35"/>
    </row>
    <row r="696" spans="17:17">
      <c r="Q696" s="35"/>
    </row>
    <row r="697" spans="17:17">
      <c r="Q697" s="35"/>
    </row>
    <row r="698" spans="17:17">
      <c r="Q698" s="35"/>
    </row>
    <row r="699" spans="17:17">
      <c r="Q699" s="35"/>
    </row>
    <row r="700" spans="17:17">
      <c r="Q700" s="35"/>
    </row>
    <row r="701" spans="17:17">
      <c r="Q701" s="35"/>
    </row>
    <row r="702" spans="17:17">
      <c r="Q702" s="35"/>
    </row>
    <row r="703" spans="17:17">
      <c r="Q703" s="35"/>
    </row>
    <row r="704" spans="17:17">
      <c r="Q704" s="35"/>
    </row>
    <row r="705" spans="17:17">
      <c r="Q705" s="35"/>
    </row>
    <row r="706" spans="17:17">
      <c r="Q706" s="35"/>
    </row>
    <row r="707" spans="17:17">
      <c r="Q707" s="35"/>
    </row>
    <row r="708" spans="17:17">
      <c r="Q708" s="35"/>
    </row>
    <row r="709" spans="17:17">
      <c r="Q709" s="35"/>
    </row>
    <row r="710" spans="17:17">
      <c r="Q710" s="35"/>
    </row>
    <row r="711" spans="17:17">
      <c r="Q711" s="35"/>
    </row>
    <row r="712" spans="17:17">
      <c r="Q712" s="35"/>
    </row>
    <row r="713" spans="17:17">
      <c r="Q713" s="35"/>
    </row>
    <row r="714" spans="17:17">
      <c r="Q714" s="35"/>
    </row>
    <row r="715" spans="17:17">
      <c r="Q715" s="35"/>
    </row>
    <row r="716" spans="17:17">
      <c r="Q716" s="35"/>
    </row>
    <row r="717" spans="17:17">
      <c r="Q717" s="35"/>
    </row>
    <row r="718" spans="17:17">
      <c r="Q718" s="35"/>
    </row>
    <row r="719" spans="17:17">
      <c r="Q719" s="35"/>
    </row>
    <row r="720" spans="17:17">
      <c r="Q720" s="35"/>
    </row>
    <row r="721" spans="17:17">
      <c r="Q721" s="35"/>
    </row>
    <row r="722" spans="17:17">
      <c r="Q722" s="35"/>
    </row>
    <row r="723" spans="17:17">
      <c r="Q723" s="35"/>
    </row>
    <row r="724" spans="17:17">
      <c r="Q724" s="35"/>
    </row>
    <row r="725" spans="17:17">
      <c r="Q725" s="35"/>
    </row>
    <row r="726" spans="17:17">
      <c r="Q726" s="35"/>
    </row>
    <row r="727" spans="17:17">
      <c r="Q727" s="35"/>
    </row>
    <row r="728" spans="17:17">
      <c r="Q728" s="35"/>
    </row>
    <row r="729" spans="17:17">
      <c r="Q729" s="35"/>
    </row>
    <row r="730" spans="17:17">
      <c r="Q730" s="35"/>
    </row>
    <row r="731" spans="17:17">
      <c r="Q731" s="35"/>
    </row>
    <row r="732" spans="17:17">
      <c r="Q732" s="35"/>
    </row>
    <row r="733" spans="17:17">
      <c r="Q733" s="35"/>
    </row>
    <row r="734" spans="17:17">
      <c r="Q734" s="35"/>
    </row>
    <row r="735" spans="17:17">
      <c r="Q735" s="35"/>
    </row>
    <row r="736" spans="17:17">
      <c r="Q736" s="35"/>
    </row>
    <row r="737" spans="17:17">
      <c r="Q737" s="35"/>
    </row>
    <row r="738" spans="17:17">
      <c r="Q738" s="35"/>
    </row>
    <row r="739" spans="17:17">
      <c r="Q739" s="35"/>
    </row>
    <row r="740" spans="17:17">
      <c r="Q740" s="35"/>
    </row>
    <row r="741" spans="17:17">
      <c r="Q741" s="35"/>
    </row>
    <row r="742" spans="17:17">
      <c r="Q742" s="35"/>
    </row>
    <row r="743" spans="17:17">
      <c r="Q743" s="35"/>
    </row>
    <row r="744" spans="17:17">
      <c r="Q744" s="35"/>
    </row>
    <row r="745" spans="17:17">
      <c r="Q745" s="35"/>
    </row>
    <row r="746" spans="17:17">
      <c r="Q746" s="35"/>
    </row>
    <row r="747" spans="17:17">
      <c r="Q747" s="35"/>
    </row>
    <row r="748" spans="17:17">
      <c r="Q748" s="35"/>
    </row>
    <row r="749" spans="17:17">
      <c r="Q749" s="35"/>
    </row>
    <row r="750" spans="17:17">
      <c r="Q750" s="35"/>
    </row>
    <row r="751" spans="17:17">
      <c r="Q751" s="35"/>
    </row>
    <row r="752" spans="17:17">
      <c r="Q752" s="35"/>
    </row>
    <row r="753" spans="17:17">
      <c r="Q753" s="35"/>
    </row>
    <row r="754" spans="17:17">
      <c r="Q754" s="35"/>
    </row>
    <row r="755" spans="17:17">
      <c r="Q755" s="35"/>
    </row>
    <row r="756" spans="17:17">
      <c r="Q756" s="35"/>
    </row>
    <row r="757" spans="17:17">
      <c r="Q757" s="35"/>
    </row>
    <row r="758" spans="17:17">
      <c r="Q758" s="35"/>
    </row>
    <row r="759" spans="17:17">
      <c r="Q759" s="35"/>
    </row>
    <row r="760" spans="17:17">
      <c r="Q760" s="35"/>
    </row>
    <row r="761" spans="17:17">
      <c r="Q761" s="35"/>
    </row>
    <row r="762" spans="17:17">
      <c r="Q762" s="35"/>
    </row>
    <row r="763" spans="17:17">
      <c r="Q763" s="35"/>
    </row>
    <row r="764" spans="17:17">
      <c r="Q764" s="35"/>
    </row>
    <row r="765" spans="17:17">
      <c r="Q765" s="35"/>
    </row>
    <row r="766" spans="17:17">
      <c r="Q766" s="35"/>
    </row>
    <row r="767" spans="17:17">
      <c r="Q767" s="35"/>
    </row>
    <row r="768" spans="17:17">
      <c r="Q768" s="35"/>
    </row>
    <row r="769" spans="17:17">
      <c r="Q769" s="35"/>
    </row>
    <row r="770" spans="17:17">
      <c r="Q770" s="35"/>
    </row>
    <row r="771" spans="17:17">
      <c r="Q771" s="35"/>
    </row>
    <row r="772" spans="17:17">
      <c r="Q772" s="35"/>
    </row>
    <row r="773" spans="17:17">
      <c r="Q773" s="35"/>
    </row>
    <row r="774" spans="17:17">
      <c r="Q774" s="35"/>
    </row>
    <row r="775" spans="17:17">
      <c r="Q775" s="35"/>
    </row>
    <row r="776" spans="17:17">
      <c r="Q776" s="35"/>
    </row>
    <row r="777" spans="17:17">
      <c r="Q777" s="35"/>
    </row>
    <row r="778" spans="17:17">
      <c r="Q778" s="35"/>
    </row>
    <row r="779" spans="17:17">
      <c r="Q779" s="35"/>
    </row>
    <row r="780" spans="17:17">
      <c r="Q780" s="35"/>
    </row>
    <row r="781" spans="17:17">
      <c r="Q781" s="35"/>
    </row>
    <row r="782" spans="17:17">
      <c r="Q782" s="35"/>
    </row>
    <row r="783" spans="17:17">
      <c r="Q783" s="35"/>
    </row>
    <row r="784" spans="17:17">
      <c r="Q784" s="35"/>
    </row>
    <row r="785" spans="17:17">
      <c r="Q785" s="35"/>
    </row>
    <row r="786" spans="17:17">
      <c r="Q786" s="35"/>
    </row>
    <row r="787" spans="17:17">
      <c r="Q787" s="35"/>
    </row>
    <row r="788" spans="17:17">
      <c r="Q788" s="35"/>
    </row>
    <row r="789" spans="17:17">
      <c r="Q789" s="35"/>
    </row>
    <row r="790" spans="17:17">
      <c r="Q790" s="35"/>
    </row>
    <row r="791" spans="17:17">
      <c r="Q791" s="35"/>
    </row>
    <row r="792" spans="17:17">
      <c r="Q792" s="35"/>
    </row>
    <row r="793" spans="17:17">
      <c r="Q793" s="35"/>
    </row>
    <row r="794" spans="17:17">
      <c r="Q794" s="35"/>
    </row>
    <row r="795" spans="17:17">
      <c r="Q795" s="35"/>
    </row>
    <row r="796" spans="17:17">
      <c r="Q796" s="35"/>
    </row>
    <row r="797" spans="17:17">
      <c r="Q797" s="35"/>
    </row>
    <row r="798" spans="17:17">
      <c r="Q798" s="35"/>
    </row>
    <row r="799" spans="17:17">
      <c r="Q799" s="35"/>
    </row>
    <row r="800" spans="17:17">
      <c r="Q800" s="35"/>
    </row>
    <row r="801" spans="17:17">
      <c r="Q801" s="35"/>
    </row>
    <row r="802" spans="17:17">
      <c r="Q802" s="35"/>
    </row>
    <row r="803" spans="17:17">
      <c r="Q803" s="35"/>
    </row>
    <row r="804" spans="17:17">
      <c r="Q804" s="35"/>
    </row>
    <row r="805" spans="17:17">
      <c r="Q805" s="35"/>
    </row>
    <row r="806" spans="17:17">
      <c r="Q806" s="35"/>
    </row>
    <row r="807" spans="17:17">
      <c r="Q807" s="35"/>
    </row>
    <row r="808" spans="17:17">
      <c r="Q808" s="35"/>
    </row>
    <row r="809" spans="17:17">
      <c r="Q809" s="35"/>
    </row>
    <row r="810" spans="17:17">
      <c r="Q810" s="35"/>
    </row>
    <row r="811" spans="17:17">
      <c r="Q811" s="35"/>
    </row>
    <row r="812" spans="17:17">
      <c r="Q812" s="35"/>
    </row>
    <row r="813" spans="17:17">
      <c r="Q813" s="35"/>
    </row>
    <row r="814" spans="17:17">
      <c r="Q814" s="35"/>
    </row>
    <row r="815" spans="17:17">
      <c r="Q815" s="35"/>
    </row>
    <row r="816" spans="17:17">
      <c r="Q816" s="35"/>
    </row>
    <row r="817" spans="17:17">
      <c r="Q817" s="35"/>
    </row>
    <row r="818" spans="17:17">
      <c r="Q818" s="35"/>
    </row>
    <row r="819" spans="17:17">
      <c r="Q819" s="35"/>
    </row>
    <row r="820" spans="17:17">
      <c r="Q820" s="35"/>
    </row>
    <row r="821" spans="17:17">
      <c r="Q821" s="35"/>
    </row>
    <row r="822" spans="17:17">
      <c r="Q822" s="35"/>
    </row>
    <row r="823" spans="17:17">
      <c r="Q823" s="35"/>
    </row>
    <row r="824" spans="17:17">
      <c r="Q824" s="35"/>
    </row>
    <row r="825" spans="17:17">
      <c r="Q825" s="35"/>
    </row>
    <row r="826" spans="17:17">
      <c r="Q826" s="35"/>
    </row>
    <row r="827" spans="17:17">
      <c r="Q827" s="35"/>
    </row>
    <row r="828" spans="17:17">
      <c r="Q828" s="35"/>
    </row>
    <row r="829" spans="17:17">
      <c r="Q829" s="35"/>
    </row>
    <row r="830" spans="17:17">
      <c r="Q830" s="35"/>
    </row>
    <row r="831" spans="17:17">
      <c r="Q831" s="35"/>
    </row>
    <row r="832" spans="17:17">
      <c r="Q832" s="35"/>
    </row>
    <row r="833" spans="17:17">
      <c r="Q833" s="35"/>
    </row>
    <row r="834" spans="17:17">
      <c r="Q834" s="35"/>
    </row>
    <row r="835" spans="17:17">
      <c r="Q835" s="35"/>
    </row>
    <row r="836" spans="17:17">
      <c r="Q836" s="35"/>
    </row>
    <row r="837" spans="17:17">
      <c r="Q837" s="35"/>
    </row>
    <row r="838" spans="17:17">
      <c r="Q838" s="35"/>
    </row>
    <row r="839" spans="17:17">
      <c r="Q839" s="35"/>
    </row>
    <row r="840" spans="17:17">
      <c r="Q840" s="35"/>
    </row>
    <row r="841" spans="17:17">
      <c r="Q841" s="35"/>
    </row>
    <row r="842" spans="17:17">
      <c r="Q842" s="35"/>
    </row>
    <row r="843" spans="17:17">
      <c r="Q843" s="35"/>
    </row>
    <row r="844" spans="17:17">
      <c r="Q844" s="35"/>
    </row>
    <row r="845" spans="17:17">
      <c r="Q845" s="35"/>
    </row>
    <row r="846" spans="17:17">
      <c r="Q846" s="35"/>
    </row>
    <row r="847" spans="17:17">
      <c r="Q847" s="35"/>
    </row>
    <row r="848" spans="17:17">
      <c r="Q848" s="35"/>
    </row>
    <row r="849" spans="17:17">
      <c r="Q849" s="35"/>
    </row>
    <row r="850" spans="17:17">
      <c r="Q850" s="35"/>
    </row>
    <row r="851" spans="17:17">
      <c r="Q851" s="35"/>
    </row>
    <row r="852" spans="17:17">
      <c r="Q852" s="35"/>
    </row>
    <row r="853" spans="17:17">
      <c r="Q853" s="35"/>
    </row>
    <row r="854" spans="17:17">
      <c r="Q854" s="35"/>
    </row>
    <row r="855" spans="17:17">
      <c r="Q855" s="35"/>
    </row>
    <row r="856" spans="17:17">
      <c r="Q856" s="35"/>
    </row>
    <row r="857" spans="17:17">
      <c r="Q857" s="35"/>
    </row>
    <row r="858" spans="17:17">
      <c r="Q858" s="35"/>
    </row>
    <row r="859" spans="17:17">
      <c r="Q859" s="35"/>
    </row>
    <row r="860" spans="17:17">
      <c r="Q860" s="35"/>
    </row>
    <row r="861" spans="17:17">
      <c r="Q861" s="35"/>
    </row>
    <row r="862" spans="17:17">
      <c r="Q862" s="35"/>
    </row>
    <row r="863" spans="17:17">
      <c r="Q863" s="35"/>
    </row>
    <row r="864" spans="17:17">
      <c r="Q864" s="35"/>
    </row>
    <row r="865" spans="17:17">
      <c r="Q865" s="35"/>
    </row>
    <row r="866" spans="17:17">
      <c r="Q866" s="35"/>
    </row>
    <row r="867" spans="17:17">
      <c r="Q867" s="35"/>
    </row>
    <row r="868" spans="17:17">
      <c r="Q868" s="35"/>
    </row>
    <row r="869" spans="17:17">
      <c r="Q869" s="35"/>
    </row>
    <row r="870" spans="17:17">
      <c r="Q870" s="35"/>
    </row>
    <row r="871" spans="17:17">
      <c r="Q871" s="35"/>
    </row>
    <row r="872" spans="17:17">
      <c r="Q872" s="35"/>
    </row>
    <row r="873" spans="17:17">
      <c r="Q873" s="35"/>
    </row>
    <row r="874" spans="17:17">
      <c r="Q874" s="35"/>
    </row>
    <row r="875" spans="17:17">
      <c r="Q875" s="35"/>
    </row>
    <row r="876" spans="17:17">
      <c r="Q876" s="35"/>
    </row>
    <row r="877" spans="17:17">
      <c r="Q877" s="35"/>
    </row>
    <row r="878" spans="17:17">
      <c r="Q878" s="35"/>
    </row>
    <row r="879" spans="17:17">
      <c r="Q879" s="35"/>
    </row>
    <row r="880" spans="17:17">
      <c r="Q880" s="35"/>
    </row>
    <row r="881" spans="17:17">
      <c r="Q881" s="35"/>
    </row>
    <row r="882" spans="17:17">
      <c r="Q882" s="35"/>
    </row>
    <row r="883" spans="17:17">
      <c r="Q883" s="35"/>
    </row>
    <row r="884" spans="17:17">
      <c r="Q884" s="35"/>
    </row>
    <row r="885" spans="17:17">
      <c r="Q885" s="35"/>
    </row>
    <row r="886" spans="17:17">
      <c r="Q886" s="35"/>
    </row>
    <row r="887" spans="17:17">
      <c r="Q887" s="35"/>
    </row>
    <row r="888" spans="17:17">
      <c r="Q888" s="35"/>
    </row>
    <row r="889" spans="17:17">
      <c r="Q889" s="35"/>
    </row>
    <row r="890" spans="17:17">
      <c r="Q890" s="35"/>
    </row>
    <row r="891" spans="17:17">
      <c r="Q891" s="35"/>
    </row>
    <row r="892" spans="17:17">
      <c r="Q892" s="35"/>
    </row>
    <row r="893" spans="17:17">
      <c r="Q893" s="35"/>
    </row>
    <row r="894" spans="17:17">
      <c r="Q894" s="35"/>
    </row>
    <row r="895" spans="17:17">
      <c r="Q895" s="35"/>
    </row>
    <row r="896" spans="17:17">
      <c r="Q896" s="35"/>
    </row>
    <row r="897" spans="17:17">
      <c r="Q897" s="35"/>
    </row>
    <row r="898" spans="17:17">
      <c r="Q898" s="35"/>
    </row>
    <row r="899" spans="17:17">
      <c r="Q899" s="35"/>
    </row>
    <row r="900" spans="17:17">
      <c r="Q900" s="35"/>
    </row>
    <row r="901" spans="17:17">
      <c r="Q901" s="35"/>
    </row>
    <row r="902" spans="17:17">
      <c r="Q902" s="35"/>
    </row>
    <row r="903" spans="17:17">
      <c r="Q903" s="35"/>
    </row>
    <row r="904" spans="17:17">
      <c r="Q904" s="35"/>
    </row>
    <row r="905" spans="17:17">
      <c r="Q905" s="35"/>
    </row>
    <row r="906" spans="17:17">
      <c r="Q906" s="35"/>
    </row>
    <row r="907" spans="17:17">
      <c r="Q907" s="35"/>
    </row>
    <row r="908" spans="17:17">
      <c r="Q908" s="35"/>
    </row>
    <row r="909" spans="17:17">
      <c r="Q909" s="35"/>
    </row>
    <row r="910" spans="17:17">
      <c r="Q910" s="35"/>
    </row>
    <row r="911" spans="17:17">
      <c r="Q911" s="35"/>
    </row>
    <row r="912" spans="17:17">
      <c r="Q912" s="35"/>
    </row>
    <row r="913" spans="17:17">
      <c r="Q913" s="35"/>
    </row>
    <row r="914" spans="17:17">
      <c r="Q914" s="35"/>
    </row>
    <row r="915" spans="17:17">
      <c r="Q915" s="35"/>
    </row>
    <row r="916" spans="17:17">
      <c r="Q916" s="35"/>
    </row>
    <row r="917" spans="17:17">
      <c r="Q917" s="35"/>
    </row>
    <row r="918" spans="17:17">
      <c r="Q918" s="35"/>
    </row>
    <row r="919" spans="17:17">
      <c r="Q919" s="35"/>
    </row>
    <row r="920" spans="17:17">
      <c r="Q920" s="35"/>
    </row>
    <row r="921" spans="17:17">
      <c r="Q921" s="35"/>
    </row>
    <row r="922" spans="17:17">
      <c r="Q922" s="35"/>
    </row>
    <row r="923" spans="17:17">
      <c r="Q923" s="35"/>
    </row>
    <row r="924" spans="17:17">
      <c r="Q924" s="35"/>
    </row>
    <row r="925" spans="17:17">
      <c r="Q925" s="35"/>
    </row>
    <row r="926" spans="17:17">
      <c r="Q926" s="35"/>
    </row>
    <row r="927" spans="17:17">
      <c r="Q927" s="35"/>
    </row>
    <row r="928" spans="17:17">
      <c r="Q928" s="35"/>
    </row>
    <row r="929" spans="17:17">
      <c r="Q929" s="35"/>
    </row>
    <row r="930" spans="17:17">
      <c r="Q930" s="35"/>
    </row>
    <row r="931" spans="17:17">
      <c r="Q931" s="35"/>
    </row>
    <row r="932" spans="17:17">
      <c r="Q932" s="35"/>
    </row>
    <row r="933" spans="17:17">
      <c r="Q933" s="35"/>
    </row>
    <row r="934" spans="17:17">
      <c r="Q934" s="35"/>
    </row>
    <row r="935" spans="17:17">
      <c r="Q935" s="35"/>
    </row>
    <row r="936" spans="17:17">
      <c r="Q936" s="35"/>
    </row>
    <row r="937" spans="17:17">
      <c r="Q937" s="35"/>
    </row>
    <row r="938" spans="17:17">
      <c r="Q938" s="35"/>
    </row>
    <row r="939" spans="17:17">
      <c r="Q939" s="35"/>
    </row>
    <row r="940" spans="17:17">
      <c r="Q940" s="35"/>
    </row>
    <row r="941" spans="17:17">
      <c r="Q941" s="35"/>
    </row>
    <row r="942" spans="17:17">
      <c r="Q942" s="35"/>
    </row>
    <row r="943" spans="17:17">
      <c r="Q943" s="35"/>
    </row>
    <row r="944" spans="17:17">
      <c r="Q944" s="35"/>
    </row>
    <row r="945" spans="17:17">
      <c r="Q945" s="35"/>
    </row>
    <row r="946" spans="17:17">
      <c r="Q946" s="35"/>
    </row>
    <row r="947" spans="17:17">
      <c r="Q947" s="35"/>
    </row>
    <row r="948" spans="17:17">
      <c r="Q948" s="35"/>
    </row>
    <row r="949" spans="17:17">
      <c r="Q949" s="35"/>
    </row>
    <row r="950" spans="17:17">
      <c r="Q950" s="35"/>
    </row>
    <row r="951" spans="17:17">
      <c r="Q951" s="35"/>
    </row>
    <row r="952" spans="17:17">
      <c r="Q952" s="35"/>
    </row>
    <row r="953" spans="17:17">
      <c r="Q953" s="35"/>
    </row>
    <row r="954" spans="17:17">
      <c r="Q954" s="35"/>
    </row>
    <row r="955" spans="17:17">
      <c r="Q955" s="35"/>
    </row>
    <row r="956" spans="17:17">
      <c r="Q956" s="35"/>
    </row>
    <row r="957" spans="17:17">
      <c r="Q957" s="35"/>
    </row>
    <row r="958" spans="17:17">
      <c r="Q958" s="35"/>
    </row>
    <row r="959" spans="17:17">
      <c r="Q959" s="35"/>
    </row>
    <row r="960" spans="17:17">
      <c r="Q960" s="35"/>
    </row>
    <row r="961" spans="17:17">
      <c r="Q961" s="35"/>
    </row>
    <row r="962" spans="17:17">
      <c r="Q962" s="35"/>
    </row>
    <row r="963" spans="17:17">
      <c r="Q963" s="35"/>
    </row>
    <row r="964" spans="17:17">
      <c r="Q964" s="35"/>
    </row>
    <row r="965" spans="17:17">
      <c r="Q965" s="35"/>
    </row>
    <row r="966" spans="17:17">
      <c r="Q966" s="35"/>
    </row>
    <row r="967" spans="17:17">
      <c r="Q967" s="35"/>
    </row>
    <row r="968" spans="17:17">
      <c r="Q968" s="35"/>
    </row>
    <row r="969" spans="17:17">
      <c r="Q969" s="35"/>
    </row>
    <row r="970" spans="17:17">
      <c r="Q970" s="35"/>
    </row>
    <row r="971" spans="17:17">
      <c r="Q971" s="35"/>
    </row>
  </sheetData>
  <phoneticPr fontId="24"/>
  <conditionalFormatting sqref="I14">
    <cfRule type="cellIs" dxfId="3" priority="4" operator="equal">
      <formula>FALSE</formula>
    </cfRule>
  </conditionalFormatting>
  <conditionalFormatting sqref="I20">
    <cfRule type="cellIs" dxfId="2" priority="3" operator="equal">
      <formula>FALSE</formula>
    </cfRule>
  </conditionalFormatting>
  <conditionalFormatting sqref="T11:T219">
    <cfRule type="cellIs" dxfId="1" priority="2" operator="lessThan">
      <formula>0</formula>
    </cfRule>
  </conditionalFormatting>
  <conditionalFormatting sqref="AD11:AD219">
    <cfRule type="cellIs" dxfId="0" priority="1" operator="lessThan">
      <formula>0</formula>
    </cfRule>
  </conditionalFormatting>
  <pageMargins left="0.23622047244094491" right="0.23622047244094491" top="0.39370078740157483" bottom="0.39370078740157483" header="0.31496062992125984" footer="0.31496062992125984"/>
  <pageSetup paperSize="9" scale="75" pageOrder="overThenDown" orientation="landscape" r:id="rId1"/>
  <headerFooter>
    <oddHeader>&amp;L&amp;F&amp;A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</vt:i4>
      </vt:variant>
    </vt:vector>
  </HeadingPairs>
  <TitlesOfParts>
    <vt:vector size="17" baseType="lpstr">
      <vt:lpstr>VerLog</vt:lpstr>
      <vt:lpstr>dbg02</vt:lpstr>
      <vt:lpstr>dbg10</vt:lpstr>
      <vt:lpstr>dbg11</vt:lpstr>
      <vt:lpstr>dbg12</vt:lpstr>
      <vt:lpstr>dbg13</vt:lpstr>
      <vt:lpstr>dbg21</vt:lpstr>
      <vt:lpstr>dbg22</vt:lpstr>
      <vt:lpstr>dbg23</vt:lpstr>
      <vt:lpstr>dbg24</vt:lpstr>
      <vt:lpstr>dbg25</vt:lpstr>
      <vt:lpstr>dbg30</vt:lpstr>
      <vt:lpstr>dbg31</vt:lpstr>
      <vt:lpstr>dbg32</vt:lpstr>
      <vt:lpstr>dbg33</vt:lpstr>
      <vt:lpstr>BkTitle1</vt:lpstr>
      <vt:lpstr>BkTitle2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AYoshida(RIKEN)</dc:creator>
  <cp:lastModifiedBy>ayoshida</cp:lastModifiedBy>
  <cp:lastPrinted>2017-05-12T04:00:36Z</cp:lastPrinted>
  <dcterms:created xsi:type="dcterms:W3CDTF">2008-11-07T05:47:18Z</dcterms:created>
  <dcterms:modified xsi:type="dcterms:W3CDTF">2017-05-27T07:42:42Z</dcterms:modified>
</cp:coreProperties>
</file>